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E:\文章\精河投稿\Appendix A. Supplementary data\"/>
    </mc:Choice>
  </mc:AlternateContent>
  <xr:revisionPtr revIDLastSave="0" documentId="13_ncr:1_{964CEBE4-41F0-4FF3-9A1B-E6B2A8B756CF}" xr6:coauthVersionLast="41" xr6:coauthVersionMax="41"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 name="Sheet4" sheetId="4" r:id="rId4"/>
    <sheet name="Sheet5" sheetId="5" r:id="rId5"/>
    <sheet name="Sheet6" sheetId="6" r:id="rId6"/>
    <sheet name="Sheet7" sheetId="7" r:id="rId7"/>
    <sheet name="Sheet8" sheetId="8" r:id="rId8"/>
    <sheet name="Sheet9" sheetId="9" r:id="rId9"/>
  </sheets>
  <definedNames>
    <definedName name="新建文本文档__2" localSheetId="0">Sheet1!$B$34:$S$36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2" i="1" l="1"/>
  <c r="S112" i="1"/>
  <c r="R112" i="1"/>
  <c r="P112" i="1"/>
  <c r="O112" i="1"/>
  <c r="Q112" i="1" s="1"/>
  <c r="T111" i="1"/>
  <c r="S111" i="1"/>
  <c r="R111" i="1"/>
  <c r="P111" i="1"/>
  <c r="O111" i="1"/>
  <c r="Q111" i="1" s="1"/>
  <c r="T110" i="1"/>
  <c r="S110" i="1"/>
  <c r="R110" i="1"/>
  <c r="P110" i="1"/>
  <c r="O110" i="1"/>
  <c r="Q110" i="1" s="1"/>
  <c r="T109" i="1"/>
  <c r="S109" i="1"/>
  <c r="R109" i="1"/>
  <c r="P109" i="1"/>
  <c r="O109" i="1"/>
  <c r="Q109" i="1" s="1"/>
  <c r="T108" i="1"/>
  <c r="S108" i="1"/>
  <c r="R108" i="1"/>
  <c r="P108" i="1"/>
  <c r="O108" i="1"/>
  <c r="Q108" i="1" s="1"/>
  <c r="T107" i="1"/>
  <c r="S107" i="1"/>
  <c r="R107" i="1"/>
  <c r="P107" i="1"/>
  <c r="O107" i="1"/>
  <c r="Q107" i="1" s="1"/>
  <c r="T106" i="1"/>
  <c r="S106" i="1"/>
  <c r="R106" i="1"/>
  <c r="P106" i="1"/>
  <c r="O106" i="1"/>
  <c r="Q106" i="1" s="1"/>
  <c r="T105" i="1"/>
  <c r="S105" i="1"/>
  <c r="R105" i="1"/>
  <c r="P105" i="1"/>
  <c r="O105" i="1"/>
  <c r="Q105" i="1" s="1"/>
  <c r="T97" i="1"/>
  <c r="S97" i="1"/>
  <c r="R97" i="1"/>
  <c r="Q97" i="1"/>
  <c r="T96" i="1"/>
  <c r="S96" i="1"/>
  <c r="R96" i="1"/>
  <c r="Q96" i="1"/>
  <c r="T95" i="1"/>
  <c r="S95" i="1"/>
  <c r="R95" i="1"/>
  <c r="Q95" i="1"/>
  <c r="T94" i="1"/>
  <c r="S94" i="1"/>
  <c r="R94" i="1"/>
  <c r="Q94" i="1"/>
  <c r="T93" i="1"/>
  <c r="S93" i="1"/>
  <c r="R93" i="1"/>
  <c r="Q93" i="1"/>
  <c r="T92" i="1"/>
  <c r="S92" i="1"/>
  <c r="R92" i="1"/>
  <c r="Q92" i="1"/>
  <c r="T91" i="1"/>
  <c r="S91" i="1"/>
  <c r="R91" i="1"/>
  <c r="Q91" i="1"/>
  <c r="T90" i="1"/>
  <c r="S90" i="1"/>
  <c r="R90" i="1"/>
  <c r="Q90" i="1"/>
  <c r="T89" i="1"/>
  <c r="S89" i="1"/>
  <c r="R89" i="1"/>
  <c r="T88" i="1"/>
  <c r="S88" i="1"/>
  <c r="R88" i="1"/>
  <c r="T87" i="1"/>
  <c r="S87" i="1"/>
  <c r="R87" i="1"/>
  <c r="T86" i="1"/>
  <c r="S86" i="1"/>
  <c r="R86" i="1"/>
  <c r="T85" i="1"/>
  <c r="S85" i="1"/>
  <c r="R85" i="1"/>
  <c r="T84" i="1"/>
  <c r="S84" i="1"/>
  <c r="R84" i="1"/>
  <c r="T83" i="1"/>
  <c r="S83" i="1"/>
  <c r="R83" i="1"/>
  <c r="T82" i="1"/>
  <c r="S82" i="1"/>
  <c r="R82" i="1"/>
  <c r="T81" i="1"/>
  <c r="S81" i="1"/>
  <c r="R81" i="1"/>
  <c r="T80" i="1"/>
  <c r="S80" i="1"/>
  <c r="R80" i="1"/>
  <c r="T79" i="1"/>
  <c r="S79" i="1"/>
  <c r="R79" i="1"/>
  <c r="T78" i="1"/>
  <c r="S78" i="1"/>
  <c r="R78" i="1"/>
  <c r="T77" i="1"/>
  <c r="S77" i="1"/>
  <c r="R77" i="1"/>
  <c r="T76" i="1"/>
  <c r="S76" i="1"/>
  <c r="R76" i="1"/>
  <c r="Q76" i="1"/>
  <c r="T75" i="1"/>
  <c r="S75" i="1"/>
  <c r="R75" i="1"/>
  <c r="Q75" i="1"/>
  <c r="T74" i="1"/>
  <c r="S74" i="1"/>
  <c r="R74" i="1"/>
  <c r="Q74" i="1"/>
  <c r="T73" i="1"/>
  <c r="S73" i="1"/>
  <c r="R73" i="1"/>
  <c r="Q73" i="1"/>
  <c r="T72" i="1"/>
  <c r="S72" i="1"/>
  <c r="R72" i="1"/>
  <c r="Q72" i="1"/>
  <c r="T71" i="1"/>
  <c r="S71" i="1"/>
  <c r="R71" i="1"/>
  <c r="Q71" i="1"/>
  <c r="T70" i="1"/>
  <c r="S70" i="1"/>
  <c r="R70" i="1"/>
  <c r="P70" i="1"/>
  <c r="O70" i="1"/>
  <c r="Q70" i="1" s="1"/>
  <c r="T69" i="1"/>
  <c r="S69" i="1"/>
  <c r="R69" i="1"/>
  <c r="P69" i="1"/>
  <c r="O69" i="1"/>
  <c r="Q69" i="1" s="1"/>
  <c r="T68" i="1"/>
  <c r="S68" i="1"/>
  <c r="R68" i="1"/>
  <c r="P68" i="1"/>
  <c r="O68" i="1"/>
  <c r="Q68" i="1" s="1"/>
  <c r="T67" i="1"/>
  <c r="S67" i="1"/>
  <c r="R67" i="1"/>
  <c r="T66" i="1"/>
  <c r="S66" i="1"/>
  <c r="R66" i="1"/>
  <c r="T65" i="1"/>
  <c r="S65" i="1"/>
  <c r="R65" i="1"/>
  <c r="T64" i="1"/>
  <c r="S64" i="1"/>
  <c r="R64" i="1"/>
  <c r="T63" i="1"/>
  <c r="S63" i="1"/>
  <c r="R63" i="1"/>
  <c r="T62" i="1"/>
  <c r="S62" i="1"/>
  <c r="R62" i="1"/>
  <c r="T61" i="1"/>
  <c r="S61" i="1"/>
  <c r="R61" i="1"/>
  <c r="P61" i="1"/>
  <c r="O61" i="1"/>
  <c r="Q61" i="1" s="1"/>
  <c r="T60" i="1"/>
  <c r="S60" i="1"/>
  <c r="R60" i="1"/>
  <c r="P60" i="1"/>
  <c r="O60" i="1"/>
  <c r="Q60" i="1" s="1"/>
  <c r="T59" i="1"/>
  <c r="S59" i="1"/>
  <c r="R59" i="1"/>
  <c r="P59" i="1"/>
  <c r="O59" i="1"/>
  <c r="Q59" i="1" s="1"/>
  <c r="T58" i="1"/>
  <c r="S58" i="1"/>
  <c r="R58" i="1"/>
  <c r="P58" i="1"/>
  <c r="O58" i="1"/>
  <c r="Q58" i="1" s="1"/>
  <c r="T52" i="1"/>
  <c r="S52" i="1"/>
  <c r="R52" i="1"/>
  <c r="T51" i="1"/>
  <c r="S51" i="1"/>
  <c r="R51" i="1"/>
  <c r="T50" i="1"/>
  <c r="S50" i="1"/>
  <c r="R50" i="1"/>
  <c r="T49" i="1"/>
  <c r="S49" i="1"/>
  <c r="R49" i="1"/>
  <c r="T48" i="1"/>
  <c r="S48" i="1"/>
  <c r="R48" i="1"/>
  <c r="T47" i="1"/>
  <c r="S47" i="1"/>
  <c r="R47" i="1"/>
  <c r="T46" i="1"/>
  <c r="S46" i="1"/>
  <c r="R46" i="1"/>
  <c r="T45" i="1"/>
  <c r="S45" i="1"/>
  <c r="R45" i="1"/>
  <c r="T44" i="1"/>
  <c r="S44" i="1"/>
  <c r="R44" i="1"/>
  <c r="T43" i="1"/>
  <c r="S43" i="1"/>
  <c r="R43" i="1"/>
  <c r="T42" i="1"/>
  <c r="S42" i="1"/>
  <c r="R42" i="1"/>
  <c r="T41" i="1"/>
  <c r="S41" i="1"/>
  <c r="R41" i="1"/>
  <c r="T40" i="1"/>
  <c r="S40" i="1"/>
  <c r="R40" i="1"/>
  <c r="T39" i="1"/>
  <c r="S39" i="1"/>
  <c r="R39" i="1"/>
  <c r="T38" i="1"/>
  <c r="S38" i="1"/>
  <c r="R38" i="1"/>
  <c r="T37" i="1"/>
  <c r="S37" i="1"/>
  <c r="R37" i="1"/>
  <c r="L20" i="1"/>
  <c r="R20" i="1" s="1"/>
  <c r="G20" i="1"/>
  <c r="P20" i="1" s="1"/>
  <c r="L19" i="1"/>
  <c r="R19" i="1" s="1"/>
  <c r="G19" i="1"/>
  <c r="P19" i="1" s="1"/>
  <c r="L18" i="1"/>
  <c r="R18" i="1" s="1"/>
  <c r="G18" i="1"/>
  <c r="P18" i="1" s="1"/>
  <c r="L17" i="1"/>
  <c r="R17" i="1" s="1"/>
  <c r="G17" i="1"/>
  <c r="P17" i="1" s="1"/>
  <c r="L16" i="1"/>
  <c r="R16" i="1" s="1"/>
  <c r="G16" i="1"/>
  <c r="P16" i="1" s="1"/>
  <c r="L15" i="1"/>
  <c r="R15" i="1" s="1"/>
  <c r="G15" i="1"/>
  <c r="P15" i="1" s="1"/>
  <c r="L14" i="1"/>
  <c r="R14" i="1" s="1"/>
  <c r="G14" i="1"/>
  <c r="P14" i="1" s="1"/>
  <c r="L13" i="1"/>
  <c r="R13" i="1" s="1"/>
  <c r="G13" i="1"/>
  <c r="P13" i="1" s="1"/>
  <c r="O13" i="1" l="1"/>
  <c r="Q13" i="1" s="1"/>
  <c r="O14" i="1"/>
  <c r="Q14" i="1" s="1"/>
  <c r="O15" i="1"/>
  <c r="Q15" i="1" s="1"/>
  <c r="O16" i="1"/>
  <c r="Q16" i="1" s="1"/>
  <c r="O17" i="1"/>
  <c r="Q17" i="1" s="1"/>
  <c r="O18" i="1"/>
  <c r="Q18" i="1" s="1"/>
  <c r="O19" i="1"/>
  <c r="Q19" i="1" s="1"/>
  <c r="O20" i="1"/>
  <c r="Q20" i="1" s="1"/>
  <c r="S13" i="1"/>
  <c r="S14" i="1"/>
  <c r="S15" i="1"/>
  <c r="S16" i="1"/>
  <c r="S17" i="1"/>
  <c r="S18" i="1"/>
  <c r="S19" i="1"/>
  <c r="S20" i="1"/>
  <c r="T13" i="1"/>
  <c r="T14" i="1"/>
  <c r="T15" i="1"/>
  <c r="T16" i="1"/>
  <c r="T17" i="1"/>
  <c r="T18" i="1"/>
  <c r="T19" i="1"/>
  <c r="T20"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新建文本文档 (2)2" type="6" refreshedVersion="4" background="1" saveData="1">
    <textPr codePage="936" sourceFile="C:\Users\wangxiangsong\Desktop\新建文本文档 (2).txt" space="1" consecutive="1">
      <textFields count="18">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<sst xmlns="http://schemas.openxmlformats.org/spreadsheetml/2006/main" count="364" uniqueCount="196">
  <si>
    <t>Sample</t>
    <phoneticPr fontId="2" type="noConversion"/>
  </si>
  <si>
    <t>Rock name</t>
    <phoneticPr fontId="2" type="noConversion"/>
  </si>
  <si>
    <t>Age</t>
    <phoneticPr fontId="1" type="noConversion"/>
  </si>
  <si>
    <t>Rb(ppm)</t>
    <phoneticPr fontId="2" type="noConversion"/>
  </si>
  <si>
    <t>Sr(ppm)</t>
    <phoneticPr fontId="2" type="noConversion"/>
  </si>
  <si>
    <t>(2σ)</t>
  </si>
  <si>
    <t>Sm(ppm)</t>
    <phoneticPr fontId="2" type="noConversion"/>
  </si>
  <si>
    <t>Nd(ppm)</t>
    <phoneticPr fontId="2" type="noConversion"/>
  </si>
  <si>
    <t>C14BL22</t>
  </si>
  <si>
    <t>C14BL25</t>
  </si>
  <si>
    <t>C14BL06</t>
  </si>
  <si>
    <t>Dacite</t>
    <phoneticPr fontId="1" type="noConversion"/>
  </si>
  <si>
    <t>C14BL09</t>
  </si>
  <si>
    <t>C14BL17</t>
  </si>
  <si>
    <t>C14BL20</t>
  </si>
  <si>
    <t>C14BL29</t>
  </si>
  <si>
    <t>C14BL31</t>
  </si>
  <si>
    <t>C14JH02</t>
  </si>
  <si>
    <t>C14JH04</t>
  </si>
  <si>
    <t>Monzonite granite</t>
    <phoneticPr fontId="2" type="noConversion"/>
  </si>
  <si>
    <t>C14JH14</t>
  </si>
  <si>
    <t>C14JH16</t>
  </si>
  <si>
    <t>K-feldspar granite</t>
    <phoneticPr fontId="2" type="noConversion"/>
  </si>
  <si>
    <t>C14JH24</t>
  </si>
  <si>
    <t>C14JH26</t>
  </si>
  <si>
    <t>C14JH29</t>
  </si>
  <si>
    <t>C14JH31</t>
  </si>
  <si>
    <t>Diorite porphyry</t>
    <phoneticPr fontId="2" type="noConversion"/>
  </si>
  <si>
    <t>C14JH34</t>
  </si>
  <si>
    <t>C14JH36</t>
  </si>
  <si>
    <t>Hb1</t>
  </si>
  <si>
    <t>Hb4</t>
  </si>
  <si>
    <t>Hb5</t>
  </si>
  <si>
    <t>Kb1</t>
  </si>
  <si>
    <t>Kb2</t>
  </si>
  <si>
    <t xml:space="preserve">06XJ018        </t>
    <phoneticPr fontId="2" type="noConversion"/>
  </si>
  <si>
    <t xml:space="preserve">06XJ19-2       </t>
    <phoneticPr fontId="2" type="noConversion"/>
  </si>
  <si>
    <t xml:space="preserve">06XJ20         </t>
    <phoneticPr fontId="2" type="noConversion"/>
  </si>
  <si>
    <t xml:space="preserve">06XJ22         </t>
    <phoneticPr fontId="2" type="noConversion"/>
  </si>
  <si>
    <t xml:space="preserve">06XJ23-2       </t>
    <phoneticPr fontId="2" type="noConversion"/>
  </si>
  <si>
    <t>06XJ04</t>
    <phoneticPr fontId="2" type="noConversion"/>
  </si>
  <si>
    <t>06XJ06</t>
    <phoneticPr fontId="2" type="noConversion"/>
  </si>
  <si>
    <t>KKS-15</t>
  </si>
  <si>
    <t>Monzogranite</t>
  </si>
  <si>
    <t>KKS-18</t>
  </si>
  <si>
    <t>KKS-34</t>
  </si>
  <si>
    <t>D8-1</t>
  </si>
  <si>
    <t>D9-2</t>
  </si>
  <si>
    <t>D10-1</t>
  </si>
  <si>
    <t>D12-1</t>
  </si>
  <si>
    <t>D14-1</t>
  </si>
  <si>
    <t>LLK-1</t>
  </si>
  <si>
    <t>LLK-7</t>
  </si>
  <si>
    <t>LLK-13</t>
  </si>
  <si>
    <t>D3-1</t>
  </si>
  <si>
    <t>D7-2</t>
  </si>
  <si>
    <t>D20-1</t>
  </si>
  <si>
    <t>D20-2</t>
  </si>
  <si>
    <t>D21-1</t>
  </si>
  <si>
    <t>D18-1</t>
  </si>
  <si>
    <t>D19-1</t>
  </si>
  <si>
    <t>D19-2</t>
  </si>
  <si>
    <t>XK2-1</t>
  </si>
  <si>
    <t>XK5-1</t>
  </si>
  <si>
    <t>XK6-1</t>
  </si>
  <si>
    <t>XK13-1</t>
  </si>
  <si>
    <t>XK14-1</t>
  </si>
  <si>
    <t>JX1-1</t>
  </si>
  <si>
    <t>JX3-1</t>
  </si>
  <si>
    <t>YM2-1</t>
  </si>
  <si>
    <t>YM-4</t>
  </si>
  <si>
    <t>YM-10</t>
  </si>
  <si>
    <t>YM11-1</t>
  </si>
  <si>
    <t>YM11-6</t>
  </si>
  <si>
    <t>06XJ-30</t>
    <phoneticPr fontId="7" type="noConversion"/>
  </si>
  <si>
    <t>06XJ-31</t>
  </si>
  <si>
    <t>06XJ-32</t>
  </si>
  <si>
    <t>06XJ-34</t>
  </si>
  <si>
    <t>06XJ-35</t>
  </si>
  <si>
    <t>06XJ-40</t>
    <phoneticPr fontId="7" type="noConversion"/>
  </si>
  <si>
    <t>TST076-1</t>
  </si>
  <si>
    <t>Andesitic porphyrite</t>
    <phoneticPr fontId="7" type="noConversion"/>
  </si>
  <si>
    <t>TST075-1</t>
  </si>
  <si>
    <t>Andesite</t>
  </si>
  <si>
    <t>TST072-2</t>
  </si>
  <si>
    <t>TST072-3</t>
  </si>
  <si>
    <t>Implicit crystalline andesite</t>
  </si>
  <si>
    <t>TST071-1</t>
  </si>
  <si>
    <t>Tufflava</t>
  </si>
  <si>
    <t>TST071-2</t>
  </si>
  <si>
    <t>TST071-4</t>
  </si>
  <si>
    <t>Orthophyre</t>
  </si>
  <si>
    <t>TST083-1</t>
  </si>
  <si>
    <t>TST085-1</t>
  </si>
  <si>
    <t>TST086-0</t>
  </si>
  <si>
    <t>Coarse grain andesite</t>
  </si>
  <si>
    <t>TST086-1</t>
  </si>
  <si>
    <t>TST087-1</t>
  </si>
  <si>
    <t>Conglomeratic andesite tuff</t>
  </si>
  <si>
    <t>TST087-2</t>
  </si>
  <si>
    <t>Dense andesite tuff</t>
  </si>
  <si>
    <t>XT4-9</t>
  </si>
  <si>
    <t>XT4-10</t>
  </si>
  <si>
    <t>XT4-11</t>
  </si>
  <si>
    <t>XT4-12</t>
  </si>
  <si>
    <t>XT4-18</t>
  </si>
  <si>
    <t>XT4-19</t>
  </si>
  <si>
    <t>XT4-20</t>
  </si>
  <si>
    <t>XT4-21</t>
  </si>
  <si>
    <t>LG2-1</t>
  </si>
  <si>
    <t>LG2-4</t>
  </si>
  <si>
    <t>LG3-3</t>
  </si>
  <si>
    <t>LG4-3</t>
  </si>
  <si>
    <t>LG1-2</t>
  </si>
  <si>
    <t>LG3-2</t>
  </si>
  <si>
    <t>LG3-4</t>
  </si>
  <si>
    <t>08Y430</t>
  </si>
  <si>
    <t>08Y431</t>
  </si>
  <si>
    <t>08Y434</t>
  </si>
  <si>
    <t>08Y435</t>
  </si>
  <si>
    <t>08Y439</t>
  </si>
  <si>
    <t>08Y440</t>
  </si>
  <si>
    <t>08Y441</t>
  </si>
  <si>
    <t>08Y443</t>
  </si>
  <si>
    <t>This study</t>
    <phoneticPr fontId="7" type="noConversion"/>
  </si>
  <si>
    <t>Wang Xiangsong et al., 2018</t>
  </si>
  <si>
    <t>Wang Xiangsong et al., 2018</t>
    <phoneticPr fontId="7" type="noConversion"/>
  </si>
  <si>
    <t>Zhao Xiaobo et al., 2014</t>
  </si>
  <si>
    <t>Zhao Xiaobo et al., 2014</t>
    <phoneticPr fontId="1" type="noConversion"/>
  </si>
  <si>
    <t>Zhang Dongyang et al., 2012</t>
    <phoneticPr fontId="1" type="noConversion"/>
  </si>
  <si>
    <t>Tang Gongjian et al., 2010</t>
  </si>
  <si>
    <t>Tang Gongjian et al., 2010</t>
    <phoneticPr fontId="1" type="noConversion"/>
  </si>
  <si>
    <t>Gao Jinggang et al., 2016</t>
  </si>
  <si>
    <t>Gao Jinggang et al., 2016</t>
    <phoneticPr fontId="1" type="noConversion"/>
  </si>
  <si>
    <t>Zhu Mingtian et al., 2011</t>
  </si>
  <si>
    <t>Zhu Mingtian et al., 2011</t>
    <phoneticPr fontId="1" type="noConversion"/>
  </si>
  <si>
    <t>An Fang et al., 2013</t>
    <phoneticPr fontId="1" type="noConversion"/>
  </si>
  <si>
    <t>Xie Hongjing et al., 2013a</t>
    <phoneticPr fontId="1" type="noConversion"/>
  </si>
  <si>
    <t>An Fang et al., 2014</t>
    <phoneticPr fontId="1" type="noConversion"/>
  </si>
  <si>
    <t>Tang Gongjian et al., 2013</t>
    <phoneticPr fontId="1" type="noConversion"/>
  </si>
  <si>
    <t>Yu Xinqi et al., 2015</t>
  </si>
  <si>
    <t>Yu Xinqi et al., 2015</t>
    <phoneticPr fontId="1" type="noConversion"/>
  </si>
  <si>
    <t>Xie Hongjing et al., 2013b</t>
    <phoneticPr fontId="1" type="noConversion"/>
  </si>
  <si>
    <t>Granodiorite</t>
    <phoneticPr fontId="1" type="noConversion"/>
  </si>
  <si>
    <t>Dacite</t>
  </si>
  <si>
    <t>Granite porphyry</t>
  </si>
  <si>
    <t>Granite porphyry</t>
    <phoneticPr fontId="1" type="noConversion"/>
  </si>
  <si>
    <t>Tonalite</t>
    <phoneticPr fontId="7" type="noConversion"/>
  </si>
  <si>
    <t>Andesite</t>
    <phoneticPr fontId="7" type="noConversion"/>
  </si>
  <si>
    <t>Granodiorite porphyry</t>
    <phoneticPr fontId="1" type="noConversion"/>
  </si>
  <si>
    <t>Monzogranite porphyry</t>
  </si>
  <si>
    <t>Monzogranite porphyry</t>
    <phoneticPr fontId="1" type="noConversion"/>
  </si>
  <si>
    <t>Andesitic</t>
    <phoneticPr fontId="1" type="noConversion"/>
  </si>
  <si>
    <t>Andesitic tuff</t>
    <phoneticPr fontId="1" type="noConversion"/>
  </si>
  <si>
    <t>basaltic andesite</t>
    <phoneticPr fontId="7" type="noConversion"/>
  </si>
  <si>
    <t>Tuff</t>
    <phoneticPr fontId="7" type="noConversion"/>
  </si>
  <si>
    <t>Rhyolite</t>
    <phoneticPr fontId="7" type="noConversion"/>
  </si>
  <si>
    <t>Ignimbrite</t>
  </si>
  <si>
    <t>Ignimbrite</t>
    <phoneticPr fontId="1" type="noConversion"/>
  </si>
  <si>
    <t>Monzonite porphyry</t>
  </si>
  <si>
    <t>Diorite</t>
    <phoneticPr fontId="1" type="noConversion"/>
  </si>
  <si>
    <r>
      <t>87</t>
    </r>
    <r>
      <rPr>
        <b/>
        <sz val="9"/>
        <rFont val="Times New Roman"/>
        <family val="1"/>
      </rPr>
      <t>Rb/</t>
    </r>
    <r>
      <rPr>
        <b/>
        <vertAlign val="superscript"/>
        <sz val="9"/>
        <rFont val="Times New Roman"/>
        <family val="1"/>
      </rPr>
      <t>86</t>
    </r>
    <r>
      <rPr>
        <b/>
        <sz val="9"/>
        <rFont val="Times New Roman"/>
        <family val="1"/>
      </rPr>
      <t>Sr</t>
    </r>
    <phoneticPr fontId="2" type="noConversion"/>
  </si>
  <si>
    <r>
      <t>87</t>
    </r>
    <r>
      <rPr>
        <b/>
        <sz val="9"/>
        <rFont val="Times New Roman"/>
        <family val="1"/>
      </rPr>
      <t>Sr/</t>
    </r>
    <r>
      <rPr>
        <b/>
        <vertAlign val="superscript"/>
        <sz val="9"/>
        <rFont val="Times New Roman"/>
        <family val="1"/>
      </rPr>
      <t>86</t>
    </r>
    <r>
      <rPr>
        <b/>
        <sz val="9"/>
        <rFont val="Times New Roman"/>
        <family val="1"/>
      </rPr>
      <t>Sr</t>
    </r>
    <phoneticPr fontId="2" type="noConversion"/>
  </si>
  <si>
    <r>
      <t>147</t>
    </r>
    <r>
      <rPr>
        <b/>
        <sz val="9"/>
        <rFont val="Times New Roman"/>
        <family val="1"/>
      </rPr>
      <t>Sm/</t>
    </r>
    <r>
      <rPr>
        <b/>
        <vertAlign val="superscript"/>
        <sz val="9"/>
        <rFont val="Times New Roman"/>
        <family val="1"/>
      </rPr>
      <t>144</t>
    </r>
    <r>
      <rPr>
        <b/>
        <sz val="9"/>
        <rFont val="Times New Roman"/>
        <family val="1"/>
      </rPr>
      <t>Nd</t>
    </r>
    <phoneticPr fontId="2" type="noConversion"/>
  </si>
  <si>
    <r>
      <t>143</t>
    </r>
    <r>
      <rPr>
        <b/>
        <sz val="9"/>
        <rFont val="Times New Roman"/>
        <family val="1"/>
      </rPr>
      <t>Nd/</t>
    </r>
    <r>
      <rPr>
        <b/>
        <vertAlign val="superscript"/>
        <sz val="9"/>
        <rFont val="Times New Roman"/>
        <family val="1"/>
      </rPr>
      <t>144</t>
    </r>
    <r>
      <rPr>
        <b/>
        <sz val="9"/>
        <rFont val="Times New Roman"/>
        <family val="1"/>
      </rPr>
      <t>Nd</t>
    </r>
    <phoneticPr fontId="2" type="noConversion"/>
  </si>
  <si>
    <r>
      <t>I</t>
    </r>
    <r>
      <rPr>
        <b/>
        <vertAlign val="subscript"/>
        <sz val="9"/>
        <rFont val="Times New Roman"/>
        <family val="1"/>
      </rPr>
      <t>Nd</t>
    </r>
    <r>
      <rPr>
        <b/>
        <sz val="9"/>
        <rFont val="Times New Roman"/>
        <family val="1"/>
      </rPr>
      <t>(t)</t>
    </r>
    <phoneticPr fontId="2" type="noConversion"/>
  </si>
  <si>
    <r>
      <t>I</t>
    </r>
    <r>
      <rPr>
        <b/>
        <vertAlign val="subscript"/>
        <sz val="9"/>
        <rFont val="Times New Roman"/>
        <family val="1"/>
      </rPr>
      <t>sr</t>
    </r>
    <r>
      <rPr>
        <b/>
        <sz val="9"/>
        <rFont val="Times New Roman"/>
        <family val="1"/>
      </rPr>
      <t>(t)</t>
    </r>
    <phoneticPr fontId="2" type="noConversion"/>
  </si>
  <si>
    <r>
      <t>ε</t>
    </r>
    <r>
      <rPr>
        <b/>
        <vertAlign val="subscript"/>
        <sz val="9"/>
        <rFont val="Times New Roman"/>
        <family val="1"/>
      </rPr>
      <t>Nd</t>
    </r>
    <r>
      <rPr>
        <b/>
        <sz val="9"/>
        <rFont val="Times New Roman"/>
        <family val="1"/>
      </rPr>
      <t>(t)</t>
    </r>
    <phoneticPr fontId="2" type="noConversion"/>
  </si>
  <si>
    <r>
      <t>T</t>
    </r>
    <r>
      <rPr>
        <b/>
        <vertAlign val="subscript"/>
        <sz val="9"/>
        <rFont val="Times New Roman"/>
        <family val="1"/>
      </rPr>
      <t>DM</t>
    </r>
    <r>
      <rPr>
        <b/>
        <sz val="9"/>
        <rFont val="Times New Roman"/>
        <family val="1"/>
      </rPr>
      <t>(Ma)</t>
    </r>
    <phoneticPr fontId="2" type="noConversion"/>
  </si>
  <si>
    <r>
      <t>T</t>
    </r>
    <r>
      <rPr>
        <b/>
        <vertAlign val="subscript"/>
        <sz val="9"/>
        <rFont val="Times New Roman"/>
        <family val="1"/>
      </rPr>
      <t>2DM</t>
    </r>
    <r>
      <rPr>
        <b/>
        <sz val="9"/>
        <rFont val="Times New Roman"/>
        <family val="1"/>
      </rPr>
      <t>(Ma)</t>
    </r>
    <phoneticPr fontId="2" type="noConversion"/>
  </si>
  <si>
    <r>
      <t>f</t>
    </r>
    <r>
      <rPr>
        <b/>
        <vertAlign val="subscript"/>
        <sz val="9"/>
        <rFont val="Times New Roman"/>
        <family val="1"/>
      </rPr>
      <t>Sm/Nd</t>
    </r>
    <phoneticPr fontId="2" type="noConversion"/>
  </si>
  <si>
    <t>Wang, X.S., Cai, K.D., Sun, M., Xiao, W.J., Xia, X.P., Wan, B., Bao, Z.H., Wang, Y.N., 2018. Two contrasting late Paleozoic magmatic episodes in the northwestern Chinese Tianshan Belt, NW China: Implication for tectonic transition from plate convergence to intra-plate adjustment during accretionary orogenesis. Journal of Asian Earth Sciences 153, 118-138.</t>
  </si>
  <si>
    <t>Gao J.G.,Li W.Y., Gao YX., Zhang Z.W., 7Zhou R.H., 2016. Geochemical, zircon U-Pb dating and Sr-Nd-Pb isotope characteristics for Late Devonian pluton of the Boluohuoluo area, West Tianshan and its geological implication. Acta Petrologica Sinica, 32(5):1379-1390</t>
    <phoneticPr fontId="1" type="noConversion"/>
  </si>
  <si>
    <t>Tang, G.J., Wang, Q., Wyman, D.A., Sun, M., Li, Z.X., Zhao, Z.H., Sun, W.D., Jia, X.H., Jiang, Z.Q., 2010. Geochronology and geochemistry of Late Paleozoic magmatic rocks in the Lamasu–Dabate area, northwestern Tianshan (west China): Evidence for a tectonic transition from arc to post-collisional setting. Lithos 119, 393-411.</t>
  </si>
  <si>
    <t>Zhang, D.Y., Zhang, Z.C., Encarnación, J., Xue, C.J., Duan, S.G., Zhao, Z.D., Liu, J.L., 2012. Petrogenesis of the Kekesai composite intrusion, western Tianshan, NW China: Implications for tectonic evolution during late Paleozoic time. Lithos 146-147, 65-79</t>
  </si>
  <si>
    <t>Zhang, D.Y., Zhang, Z.C., Xue, C.J., Zhao, Z.D., Liu, J.L., 2010. Geochronology and Geochemistry of the Ore-Forming Porphyries in the Lailisigao’er-Lamasu Region of the Western Tianshan Mountains, Xinjiang, NW China: Implications for Petrogenesis, Metallogenesis, and Tectonic Setting. The Journal of Geology 118, 543-563.</t>
  </si>
  <si>
    <t>Zhang Dongyang et al., 2010</t>
  </si>
  <si>
    <t>Zhang Dongyang et al., 2010</t>
    <phoneticPr fontId="1" type="noConversion"/>
  </si>
  <si>
    <t>Zhu M.T., Wu G., Xie H.J., Liu J., Zhang L.C., 2011. Geochronology and geochemistry of the Kekesai intrusion in western Tianshan, NW China and its geological implications. Acta Petrologica Sinica, 27(10): 3041-3054.</t>
  </si>
  <si>
    <t>An, F., Zhu, Y.F., Wei, S.N., Lai, S.C., 2013. An Early Devonian to Early Carboniferous volcanic arc in North Tianshan, NW China: Geochronological and geochemical evidence from volcanic rocks. Journal of Asian Earth Sciences 78, 100-113.</t>
  </si>
  <si>
    <t>An Fang, Zhu Yongfeng, Wei Shaoni, Lai Shaocong., 2014. The chronological and geochemical characteristics of the Shizishan subvolcanic rocks in the Jingxi-Ilmand gold deposit, Tianshan, Northwest China, and their geological and metallogenic significance. Acta Petrologica Sinica, 30(6) : 1545-1557</t>
    <phoneticPr fontId="1" type="noConversion"/>
  </si>
  <si>
    <t>Tang, G.J., Wang, Q., Wyman, D.A., Sun, M., Zhao, Z.H., Jiang, Z.Q., 2013. Petrogenesis of gold-mineralized magmatic rocks of the Taerbieke area, northwestern Tianshan (western China): Constraints from geochronology, geochemistry and Sr–Nd–Pb–Hf isotopic compositions. Journal of Asian Earth Sciences 74, 113-128.</t>
  </si>
  <si>
    <t>Yu, X.Q., Wang, Z.X., Zhou, X., Xiao, W.F., Yang, X.P., 2015. Zircon U–Pb geochronology and Sr–Nd isotopes of volcanic rocks from the Dahalajunshan Formation: implications for Late Devonian–Middle Carboniferous tectonic evolution of the Chinese Western Tianshan. International Journal of Earth Sciences 105, 1637-1661.</t>
  </si>
  <si>
    <t>Zhao, X.B., Xue, C.J., Symons, D.T.A., Zhang, Z.C., Wang, H.G., 2014. Microgranular enclaves in island-arc andesites: A possible link between known epithermal Au and potential porphyry Cu–Au deposits in the Tulasu ore cluster, western Tianshan, Xinjiang, China. Journal of Asian Earth Sciences 85, 210-223.</t>
  </si>
  <si>
    <t>Xie Hongjing, Wu Guang, Zhu Mingtian, Jin Jianping, Zhong Wei, Liu Jun, Mi Mei., 2013a. Geochronology, Geochemistry and metallogenic implications of the Lamasu intrusion in western Tianshan, NW China. Earth Science Frontiers, 20(1):190-205.</t>
    <phoneticPr fontId="1" type="noConversion"/>
  </si>
  <si>
    <t>Xie Hongjing; Wu Guang; Zhu Mingtian; Zhong Wei; Liu Jun; Mi Mei., 2013b, Geochronology, geochemistry and petrogenesis of the Lailisigaoer intrusion in northwestern Tien Shan, NW China. Scientia Geologica Sinica, 48(3),827-846.</t>
  </si>
  <si>
    <t>Liu Fei, Yang Jingsui, Li Tianfu, Chen Songyong, Xu Xiangzhen, LI Jinyang, Jia Yi, 2011.Geochemical characteristics of Late Carboniferous volcanic rocks in northern Tianshan, Xinjiang, and their geological significance. Geology in China. 38(4), 865-889.</t>
  </si>
  <si>
    <t>LM2-2</t>
    <phoneticPr fontId="1" type="noConversion"/>
  </si>
  <si>
    <t>LM2-4</t>
    <phoneticPr fontId="1" type="noConversion"/>
  </si>
  <si>
    <t>LM1-1</t>
    <phoneticPr fontId="1" type="noConversion"/>
  </si>
  <si>
    <t>LM1-4</t>
    <phoneticPr fontId="1" type="noConversion"/>
  </si>
  <si>
    <t>LM1-6</t>
    <phoneticPr fontId="1" type="noConversion"/>
  </si>
  <si>
    <t>LM1-11</t>
    <phoneticPr fontId="1" type="noConversion"/>
  </si>
  <si>
    <t xml:space="preserve">06XJ017        </t>
    <phoneticPr fontId="2" type="noConversion"/>
  </si>
  <si>
    <t>Liu Fei et al., 2011</t>
    <phoneticPr fontId="1" type="noConversion"/>
  </si>
  <si>
    <t>Table S9 Whole-rock Sr-Nd isotopic compositions of the granitoids from the Northern Yili Block</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</si>
</sst>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0000_);[Red]\(0.000000\)"/>
    <numFmt numFmtId="178" formatCode="0.000000_ "/>
    <numFmt numFmtId="179" formatCode="0_ "/>
  </numFmts>
  <fonts count="10" x14ac:knownFonts="1">
    <font>
      <sz val="9"/>
      <color theme="1"/>
      <name val="Times New Roman"/>
      <family val="2"/>
      <charset val="134"/>
    </font>
    <font>
      <sz val="9"/>
      <name val="Times New Roman"/>
      <family val="2"/>
      <charset val="134"/>
    </font>
    <font>
      <sz val="9"/>
      <name val="宋体"/>
      <family val="3"/>
      <charset val="134"/>
    </font>
    <font>
      <b/>
      <sz val="9"/>
      <name val="Times New Roman"/>
      <family val="1"/>
    </font>
    <font>
      <sz val="9"/>
      <name val="Times New Roman"/>
      <family val="1"/>
    </font>
    <font>
      <b/>
      <vertAlign val="superscript"/>
      <sz val="9"/>
      <name val="Times New Roman"/>
      <family val="1"/>
    </font>
    <font>
      <b/>
      <vertAlign val="subscript"/>
      <sz val="9"/>
      <name val="Times New Roman"/>
      <family val="1"/>
    </font>
    <font>
      <sz val="9"/>
      <name val="宋体"/>
      <family val="3"/>
      <charset val="134"/>
      <scheme val="minor"/>
    </font>
    <font>
      <sz val="9"/>
      <color theme="1"/>
      <name val="Times New Roman"/>
      <family val="1"/>
    </font>
    <font>
      <b/>
      <sz val="9"/>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176" fontId="3"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76" fontId="5"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xf>
    <xf numFmtId="176" fontId="4" fillId="2" borderId="1" xfId="0" applyNumberFormat="1" applyFont="1" applyFill="1" applyBorder="1" applyAlignment="1">
      <alignment horizontal="center" vertical="center"/>
    </xf>
    <xf numFmtId="179" fontId="4" fillId="2"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8" fillId="0" borderId="0" xfId="0" applyFont="1" applyAlignment="1">
      <alignment horizontal="center" vertical="center"/>
    </xf>
    <xf numFmtId="0"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8" fillId="0" borderId="0" xfId="0" applyFont="1">
      <alignment vertical="center"/>
    </xf>
    <xf numFmtId="177" fontId="4" fillId="0" borderId="1" xfId="0" applyNumberFormat="1" applyFont="1" applyFill="1" applyBorder="1"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center" vertical="center"/>
    </xf>
    <xf numFmtId="179" fontId="4" fillId="0" borderId="1" xfId="0" applyNumberFormat="1" applyFont="1" applyBorder="1" applyAlignment="1">
      <alignment horizontal="center"/>
    </xf>
    <xf numFmtId="177" fontId="4" fillId="0" borderId="1" xfId="0" applyNumberFormat="1" applyFont="1" applyBorder="1" applyAlignment="1">
      <alignment horizontal="center"/>
    </xf>
    <xf numFmtId="176" fontId="4" fillId="0" borderId="1" xfId="0" applyNumberFormat="1" applyFont="1" applyBorder="1" applyAlignment="1">
      <alignment horizontal="center"/>
    </xf>
    <xf numFmtId="179" fontId="4" fillId="0" borderId="1" xfId="0" applyNumberFormat="1" applyFont="1" applyFill="1" applyBorder="1" applyAlignment="1" applyProtection="1">
      <alignment horizontal="center" vertical="center"/>
      <protection locked="0"/>
    </xf>
    <xf numFmtId="178" fontId="4" fillId="0" borderId="1" xfId="0" applyNumberFormat="1" applyFont="1" applyBorder="1">
      <alignment vertical="center"/>
    </xf>
    <xf numFmtId="179" fontId="4" fillId="0" borderId="1" xfId="0" applyNumberFormat="1" applyFont="1" applyBorder="1" applyAlignment="1">
      <alignment horizontal="center" vertical="center"/>
    </xf>
    <xf numFmtId="177"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0" xfId="0" applyAlignment="1">
      <alignment horizontal="center" vertical="center"/>
    </xf>
    <xf numFmtId="0" fontId="4" fillId="0" borderId="1" xfId="0" applyNumberFormat="1" applyFont="1" applyFill="1" applyBorder="1" applyAlignment="1">
      <alignment horizontal="right" vertical="center"/>
    </xf>
    <xf numFmtId="0" fontId="9"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新建文本文档 (2)" connectionId="1" xr16:uid="{00000000-0016-0000-0000-000000000000}"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7"/>
  <sheetViews>
    <sheetView tabSelected="1" workbookViewId="0"/>
  </sheetViews>
  <sheetFormatPr defaultRowHeight="11.5" x14ac:dyDescent="0.25"/>
  <cols>
    <col min="1" max="1" width="9.33203125" bestFit="1" customWidth="1"/>
    <col min="2" max="2" width="16.109375" style="27" customWidth="1"/>
    <col min="3" max="3" width="24.33203125" style="8" customWidth="1"/>
    <col min="4" max="4" width="9.33203125" style="13" bestFit="1" customWidth="1"/>
    <col min="5" max="6" width="9.33203125" bestFit="1" customWidth="1"/>
    <col min="7" max="7" width="9.88671875" bestFit="1" customWidth="1"/>
    <col min="8" max="8" width="13.109375" customWidth="1"/>
    <col min="9" max="9" width="10" bestFit="1" customWidth="1"/>
    <col min="10" max="10" width="9.33203125" bestFit="1" customWidth="1"/>
    <col min="11" max="11" width="11.44140625" customWidth="1"/>
    <col min="12" max="12" width="13.109375" customWidth="1"/>
    <col min="13" max="13" width="14.44140625" customWidth="1"/>
    <col min="14" max="14" width="10" bestFit="1" customWidth="1"/>
    <col min="15" max="15" width="9.88671875" bestFit="1" customWidth="1"/>
    <col min="16" max="16" width="11.109375" customWidth="1"/>
    <col min="17" max="20" width="9.33203125" bestFit="1" customWidth="1"/>
    <col min="21" max="21" width="25.44140625" customWidth="1"/>
    <col min="22" max="22" width="10.6640625" bestFit="1" customWidth="1"/>
  </cols>
  <sheetData>
    <row r="1" spans="1:21" x14ac:dyDescent="0.25">
      <c r="A1" s="29" t="s">
        <v>195</v>
      </c>
    </row>
    <row r="2" spans="1:21" ht="14" x14ac:dyDescent="0.25">
      <c r="A2" s="15"/>
      <c r="B2" s="1" t="s">
        <v>0</v>
      </c>
      <c r="C2" s="1" t="s">
        <v>1</v>
      </c>
      <c r="D2" s="2" t="s">
        <v>2</v>
      </c>
      <c r="E2" s="1" t="s">
        <v>3</v>
      </c>
      <c r="F2" s="1" t="s">
        <v>4</v>
      </c>
      <c r="G2" s="3" t="s">
        <v>161</v>
      </c>
      <c r="H2" s="3" t="s">
        <v>162</v>
      </c>
      <c r="I2" s="4" t="s">
        <v>5</v>
      </c>
      <c r="J2" s="1" t="s">
        <v>6</v>
      </c>
      <c r="K2" s="1" t="s">
        <v>7</v>
      </c>
      <c r="L2" s="3" t="s">
        <v>163</v>
      </c>
      <c r="M2" s="3" t="s">
        <v>164</v>
      </c>
      <c r="N2" s="4" t="s">
        <v>5</v>
      </c>
      <c r="O2" s="1" t="s">
        <v>165</v>
      </c>
      <c r="P2" s="1" t="s">
        <v>166</v>
      </c>
      <c r="Q2" s="1" t="s">
        <v>167</v>
      </c>
      <c r="R2" s="1" t="s">
        <v>168</v>
      </c>
      <c r="S2" s="1" t="s">
        <v>169</v>
      </c>
      <c r="T2" s="1" t="s">
        <v>170</v>
      </c>
      <c r="U2" s="16"/>
    </row>
    <row r="3" spans="1:21" x14ac:dyDescent="0.25">
      <c r="A3" s="15">
        <v>1</v>
      </c>
      <c r="B3" s="2" t="s">
        <v>17</v>
      </c>
      <c r="C3" s="16" t="s">
        <v>19</v>
      </c>
      <c r="D3" s="6">
        <v>303.89999999999998</v>
      </c>
      <c r="E3" s="2">
        <v>139</v>
      </c>
      <c r="F3" s="2">
        <v>151</v>
      </c>
      <c r="G3" s="5">
        <v>2.6654815601392183</v>
      </c>
      <c r="H3" s="7">
        <v>0.71776324375032996</v>
      </c>
      <c r="I3" s="7">
        <v>7.3816646400243798E-6</v>
      </c>
      <c r="J3" s="2">
        <v>5.5</v>
      </c>
      <c r="K3" s="2">
        <v>31.5</v>
      </c>
      <c r="L3" s="7">
        <v>0.10626873787557053</v>
      </c>
      <c r="M3" s="7">
        <v>0.51255831485777903</v>
      </c>
      <c r="N3" s="7">
        <v>3.1385956744762799E-6</v>
      </c>
      <c r="O3" s="7">
        <v>0.51234689507419018</v>
      </c>
      <c r="P3" s="7">
        <v>0.70623582322445644</v>
      </c>
      <c r="Q3" s="5">
        <v>1.9566015401428771</v>
      </c>
      <c r="R3" s="6">
        <v>841.38750714630635</v>
      </c>
      <c r="S3" s="6">
        <v>1030.8533462289324</v>
      </c>
      <c r="T3" s="5">
        <v>-0.45974205452175632</v>
      </c>
      <c r="U3" s="15" t="s">
        <v>124</v>
      </c>
    </row>
    <row r="4" spans="1:21" x14ac:dyDescent="0.25">
      <c r="A4" s="15">
        <v>2</v>
      </c>
      <c r="B4" s="2" t="s">
        <v>18</v>
      </c>
      <c r="C4" s="16" t="s">
        <v>19</v>
      </c>
      <c r="D4" s="6">
        <v>303.89999999999998</v>
      </c>
      <c r="E4" s="2">
        <v>156</v>
      </c>
      <c r="F4" s="2">
        <v>137</v>
      </c>
      <c r="G4" s="5">
        <v>3.2971739552927288</v>
      </c>
      <c r="H4" s="7">
        <v>0.72022505553822502</v>
      </c>
      <c r="I4" s="7">
        <v>6.4635622763891703E-6</v>
      </c>
      <c r="J4" s="2">
        <v>4.93</v>
      </c>
      <c r="K4" s="2">
        <v>24.4</v>
      </c>
      <c r="L4" s="7">
        <v>0.12297320155280721</v>
      </c>
      <c r="M4" s="7">
        <v>0.51259457478790904</v>
      </c>
      <c r="N4" s="7">
        <v>2.7008819453261601E-6</v>
      </c>
      <c r="O4" s="7">
        <v>0.51234992176784633</v>
      </c>
      <c r="P4" s="7">
        <v>0.70596575196696643</v>
      </c>
      <c r="Q4" s="5">
        <v>2.0156881841448815</v>
      </c>
      <c r="R4" s="6">
        <v>935.28026600907515</v>
      </c>
      <c r="S4" s="6">
        <v>1026.2173944964488</v>
      </c>
      <c r="T4" s="5">
        <v>-0.37481849744378648</v>
      </c>
      <c r="U4" s="15" t="s">
        <v>124</v>
      </c>
    </row>
    <row r="5" spans="1:21" x14ac:dyDescent="0.25">
      <c r="A5" s="15">
        <v>3</v>
      </c>
      <c r="B5" s="2" t="s">
        <v>20</v>
      </c>
      <c r="C5" s="16" t="s">
        <v>22</v>
      </c>
      <c r="D5" s="6">
        <v>304.7</v>
      </c>
      <c r="E5" s="2">
        <v>134</v>
      </c>
      <c r="F5" s="2">
        <v>128</v>
      </c>
      <c r="G5" s="5">
        <v>3.0313260953157002</v>
      </c>
      <c r="H5" s="7">
        <v>0.71963457238096495</v>
      </c>
      <c r="I5" s="7">
        <v>6.0137430286985103E-6</v>
      </c>
      <c r="J5" s="2">
        <v>5.59</v>
      </c>
      <c r="K5" s="2">
        <v>29.4</v>
      </c>
      <c r="L5" s="7">
        <v>0.1157225152060596</v>
      </c>
      <c r="M5" s="7">
        <v>0.512563233478882</v>
      </c>
      <c r="N5" s="7">
        <v>3.3126649397307502E-6</v>
      </c>
      <c r="O5" s="7">
        <v>0.51233239890534921</v>
      </c>
      <c r="P5" s="7">
        <v>0.7064903973029304</v>
      </c>
      <c r="Q5" s="5">
        <v>1.6937436151986951</v>
      </c>
      <c r="R5" s="6">
        <v>889.22333552975647</v>
      </c>
      <c r="S5" s="6">
        <v>1026.8761798431638</v>
      </c>
      <c r="T5" s="5">
        <v>-0.41168014638505546</v>
      </c>
      <c r="U5" s="15" t="s">
        <v>124</v>
      </c>
    </row>
    <row r="6" spans="1:21" x14ac:dyDescent="0.25">
      <c r="A6" s="15">
        <v>4</v>
      </c>
      <c r="B6" s="2" t="s">
        <v>21</v>
      </c>
      <c r="C6" s="16" t="s">
        <v>22</v>
      </c>
      <c r="D6" s="6">
        <v>304.7</v>
      </c>
      <c r="E6" s="2">
        <v>144</v>
      </c>
      <c r="F6" s="2">
        <v>123</v>
      </c>
      <c r="G6" s="5">
        <v>3.3899649671677587</v>
      </c>
      <c r="H6" s="7">
        <v>0.72131553184919595</v>
      </c>
      <c r="I6" s="7">
        <v>5.6104674775369896E-6</v>
      </c>
      <c r="J6" s="2">
        <v>5.66</v>
      </c>
      <c r="K6" s="2">
        <v>27.9</v>
      </c>
      <c r="L6" s="7">
        <v>0.12347118459325822</v>
      </c>
      <c r="M6" s="7">
        <v>0.51257971638074995</v>
      </c>
      <c r="N6" s="7">
        <v>2.6883338082647401E-6</v>
      </c>
      <c r="O6" s="7">
        <v>0.51233342534405391</v>
      </c>
      <c r="P6" s="7">
        <v>0.70661625779032367</v>
      </c>
      <c r="Q6" s="5">
        <v>1.7137816326906474</v>
      </c>
      <c r="R6" s="6">
        <v>1174.1806199938303</v>
      </c>
      <c r="S6" s="6">
        <v>1240.6256717479362</v>
      </c>
      <c r="T6" s="5">
        <v>-0.37228680938862124</v>
      </c>
      <c r="U6" s="15" t="s">
        <v>124</v>
      </c>
    </row>
    <row r="7" spans="1:21" x14ac:dyDescent="0.25">
      <c r="A7" s="15">
        <v>5</v>
      </c>
      <c r="B7" s="2" t="s">
        <v>23</v>
      </c>
      <c r="C7" s="16" t="s">
        <v>22</v>
      </c>
      <c r="D7" s="6">
        <v>374.3</v>
      </c>
      <c r="E7" s="2">
        <v>143</v>
      </c>
      <c r="F7" s="2">
        <v>187</v>
      </c>
      <c r="G7" s="5">
        <v>2.2142785876230575</v>
      </c>
      <c r="H7" s="7">
        <v>0.71931979837288496</v>
      </c>
      <c r="I7" s="7">
        <v>6.2211756023282202E-6</v>
      </c>
      <c r="J7" s="2">
        <v>5.03</v>
      </c>
      <c r="K7" s="2">
        <v>28</v>
      </c>
      <c r="L7" s="7">
        <v>0.1093360400824336</v>
      </c>
      <c r="M7" s="7">
        <v>0.512455994737681</v>
      </c>
      <c r="N7" s="7">
        <v>2.6057135796026598E-6</v>
      </c>
      <c r="O7" s="7">
        <v>0.51218802078391745</v>
      </c>
      <c r="P7" s="7">
        <v>0.70751944280387369</v>
      </c>
      <c r="Q7" s="5">
        <v>0.62709161676499647</v>
      </c>
      <c r="R7" s="6">
        <v>987.39872386226295</v>
      </c>
      <c r="S7" s="6">
        <v>1161.8740088897855</v>
      </c>
      <c r="T7" s="5">
        <v>-0.44414824564090705</v>
      </c>
      <c r="U7" s="15" t="s">
        <v>124</v>
      </c>
    </row>
    <row r="8" spans="1:21" x14ac:dyDescent="0.25">
      <c r="A8" s="15">
        <v>6</v>
      </c>
      <c r="B8" s="2" t="s">
        <v>24</v>
      </c>
      <c r="C8" s="16" t="s">
        <v>22</v>
      </c>
      <c r="D8" s="6">
        <v>374.3</v>
      </c>
      <c r="E8" s="2">
        <v>150</v>
      </c>
      <c r="F8" s="2">
        <v>185</v>
      </c>
      <c r="G8" s="5">
        <v>2.3477797914506433</v>
      </c>
      <c r="H8" s="7">
        <v>0.720038426611048</v>
      </c>
      <c r="I8" s="7">
        <v>6.76549857087063E-6</v>
      </c>
      <c r="J8" s="2">
        <v>5.18</v>
      </c>
      <c r="K8" s="2">
        <v>29.2</v>
      </c>
      <c r="L8" s="7">
        <v>0.10796930236087701</v>
      </c>
      <c r="M8" s="7">
        <v>0.51243843860154603</v>
      </c>
      <c r="N8" s="7">
        <v>2.9955754732408699E-6</v>
      </c>
      <c r="O8" s="7">
        <v>0.51217381441342902</v>
      </c>
      <c r="P8" s="7">
        <v>0.70752661509296955</v>
      </c>
      <c r="Q8" s="5">
        <v>0.34970790645738603</v>
      </c>
      <c r="R8" s="6">
        <v>996.860065453174</v>
      </c>
      <c r="S8" s="6">
        <v>1180.426282623308</v>
      </c>
      <c r="T8" s="5">
        <v>-0.45109658179523637</v>
      </c>
      <c r="U8" s="15" t="s">
        <v>124</v>
      </c>
    </row>
    <row r="9" spans="1:21" x14ac:dyDescent="0.25">
      <c r="A9" s="15">
        <v>7</v>
      </c>
      <c r="B9" s="2" t="s">
        <v>25</v>
      </c>
      <c r="C9" s="16" t="s">
        <v>27</v>
      </c>
      <c r="D9" s="6">
        <v>369.9</v>
      </c>
      <c r="E9" s="2">
        <v>110</v>
      </c>
      <c r="F9" s="2">
        <v>258</v>
      </c>
      <c r="G9" s="5">
        <v>1.2345560402072506</v>
      </c>
      <c r="H9" s="7">
        <v>0.71398542602967796</v>
      </c>
      <c r="I9" s="7">
        <v>7.1264816181234503E-6</v>
      </c>
      <c r="J9" s="2">
        <v>3.68</v>
      </c>
      <c r="K9" s="2">
        <v>20.2</v>
      </c>
      <c r="L9" s="7">
        <v>0.11087913676450172</v>
      </c>
      <c r="M9" s="7">
        <v>0.51247517557453703</v>
      </c>
      <c r="N9" s="7">
        <v>2.9516860903268499E-6</v>
      </c>
      <c r="O9" s="7">
        <v>0.51220661804538603</v>
      </c>
      <c r="P9" s="7">
        <v>0.70748376135527358</v>
      </c>
      <c r="Q9" s="5">
        <v>0.87941189717444246</v>
      </c>
      <c r="R9" s="6">
        <v>1029.4043052078566</v>
      </c>
      <c r="S9" s="6">
        <v>1195.9062976214636</v>
      </c>
      <c r="T9" s="5">
        <v>-0.43630332097355518</v>
      </c>
      <c r="U9" s="15" t="s">
        <v>124</v>
      </c>
    </row>
    <row r="10" spans="1:21" x14ac:dyDescent="0.25">
      <c r="A10" s="15">
        <v>8</v>
      </c>
      <c r="B10" s="2" t="s">
        <v>26</v>
      </c>
      <c r="C10" s="16" t="s">
        <v>27</v>
      </c>
      <c r="D10" s="6">
        <v>369.9</v>
      </c>
      <c r="E10" s="2">
        <v>116</v>
      </c>
      <c r="F10" s="2">
        <v>431</v>
      </c>
      <c r="G10" s="5">
        <v>0.77932489287750673</v>
      </c>
      <c r="H10" s="7">
        <v>0.71169557940872397</v>
      </c>
      <c r="I10" s="7">
        <v>7.6284102936911497E-6</v>
      </c>
      <c r="J10" s="2">
        <v>3.75</v>
      </c>
      <c r="K10" s="2">
        <v>21.4</v>
      </c>
      <c r="L10" s="7">
        <v>0.10665246101573297</v>
      </c>
      <c r="M10" s="7">
        <v>0.512459748738886</v>
      </c>
      <c r="N10" s="7">
        <v>2.6793630639265101E-6</v>
      </c>
      <c r="O10" s="7">
        <v>0.51220142853326345</v>
      </c>
      <c r="P10" s="7">
        <v>0.7075913435855733</v>
      </c>
      <c r="Q10" s="5">
        <v>0.77808621508523856</v>
      </c>
      <c r="R10" s="6">
        <v>1011.2785865700446</v>
      </c>
      <c r="S10" s="6">
        <v>1204.274272571259</v>
      </c>
      <c r="T10" s="5">
        <v>-0.45779125055550096</v>
      </c>
      <c r="U10" s="15" t="s">
        <v>124</v>
      </c>
    </row>
    <row r="11" spans="1:21" x14ac:dyDescent="0.25">
      <c r="A11" s="15">
        <v>11</v>
      </c>
      <c r="B11" s="2" t="s">
        <v>28</v>
      </c>
      <c r="C11" s="16" t="s">
        <v>19</v>
      </c>
      <c r="D11" s="6">
        <v>369.1</v>
      </c>
      <c r="E11" s="2">
        <v>170</v>
      </c>
      <c r="F11" s="2">
        <v>154</v>
      </c>
      <c r="G11" s="5">
        <v>3.1964361229923259</v>
      </c>
      <c r="H11" s="7">
        <v>0.725728230120125</v>
      </c>
      <c r="I11" s="7">
        <v>6.6566268572423703E-6</v>
      </c>
      <c r="J11" s="2">
        <v>5.7</v>
      </c>
      <c r="K11" s="2">
        <v>34</v>
      </c>
      <c r="L11" s="7">
        <v>0.10203503682116948</v>
      </c>
      <c r="M11" s="7">
        <v>0.51245679431842694</v>
      </c>
      <c r="N11" s="7">
        <v>2.7591587513020102E-6</v>
      </c>
      <c r="O11" s="7">
        <v>0.51220965785817729</v>
      </c>
      <c r="P11" s="7">
        <v>0.70889452217329052</v>
      </c>
      <c r="Q11" s="5">
        <v>0.93876451014329731</v>
      </c>
      <c r="R11" s="6">
        <v>679.24055991422313</v>
      </c>
      <c r="S11" s="6">
        <v>859.84759230480529</v>
      </c>
      <c r="T11" s="5">
        <v>-0.48126569994321566</v>
      </c>
      <c r="U11" s="15" t="s">
        <v>124</v>
      </c>
    </row>
    <row r="12" spans="1:21" x14ac:dyDescent="0.25">
      <c r="A12" s="15">
        <v>12</v>
      </c>
      <c r="B12" s="2" t="s">
        <v>29</v>
      </c>
      <c r="C12" s="16" t="s">
        <v>19</v>
      </c>
      <c r="D12" s="6">
        <v>369.1</v>
      </c>
      <c r="E12" s="2">
        <v>146</v>
      </c>
      <c r="F12" s="2">
        <v>156</v>
      </c>
      <c r="G12" s="5">
        <v>2.7099800071402513</v>
      </c>
      <c r="H12" s="7">
        <v>0.72212162882501596</v>
      </c>
      <c r="I12" s="7">
        <v>5.71017894504116E-6</v>
      </c>
      <c r="J12" s="2">
        <v>4.22</v>
      </c>
      <c r="K12" s="2">
        <v>23.8</v>
      </c>
      <c r="L12" s="7">
        <v>0.10791675573567297</v>
      </c>
      <c r="M12" s="7">
        <v>0.51244099379686403</v>
      </c>
      <c r="N12" s="7">
        <v>3.55477284158169E-6</v>
      </c>
      <c r="O12" s="7">
        <v>0.51217961137524659</v>
      </c>
      <c r="P12" s="7">
        <v>0.70784979287190042</v>
      </c>
      <c r="Q12" s="5">
        <v>0.35210427976828385</v>
      </c>
      <c r="R12" s="6">
        <v>633.61761647381752</v>
      </c>
      <c r="S12" s="6">
        <v>793.01066446653135</v>
      </c>
      <c r="T12" s="5">
        <v>-0.45136372274696002</v>
      </c>
      <c r="U12" s="15" t="s">
        <v>124</v>
      </c>
    </row>
    <row r="13" spans="1:21" x14ac:dyDescent="0.25">
      <c r="A13" s="15">
        <v>13</v>
      </c>
      <c r="B13" s="2" t="s">
        <v>8</v>
      </c>
      <c r="C13" s="2" t="s">
        <v>158</v>
      </c>
      <c r="D13" s="6">
        <v>300.39999999999998</v>
      </c>
      <c r="E13" s="2">
        <v>105</v>
      </c>
      <c r="F13" s="2">
        <v>107</v>
      </c>
      <c r="G13" s="5">
        <f>(E13/85.47*0.2785)/(F13/87.62*0.0986)</f>
        <v>2.8414718036715727</v>
      </c>
      <c r="H13" s="7">
        <v>0.71954476910289999</v>
      </c>
      <c r="I13" s="7">
        <v>7.6743855177322393E-6</v>
      </c>
      <c r="J13" s="2">
        <v>9.06</v>
      </c>
      <c r="K13" s="2">
        <v>42.3</v>
      </c>
      <c r="L13" s="7">
        <f>((J13/150.36)*0.151)/((K13/144.24)*0.238)</f>
        <v>0.13035905911157999</v>
      </c>
      <c r="M13" s="7">
        <v>0.51286129806275804</v>
      </c>
      <c r="N13" s="7">
        <v>2.8922913089037601E-6</v>
      </c>
      <c r="O13" s="7">
        <f t="shared" ref="O13:O20" si="0">M13-L13*(EXP(0.654*0.003)-1)</f>
        <v>0.51260528251965976</v>
      </c>
      <c r="P13" s="7">
        <f t="shared" ref="P13:P20" si="1">H13-G13*(EXP(0.0142*0.3)-1)</f>
        <v>0.70741427962159764</v>
      </c>
      <c r="Q13" s="5">
        <f t="shared" ref="Q13:Q20" si="2">(O13/(0.512638-0.1967*(EXP(0.654*0.003)-1))-1)*10000</f>
        <v>6.9025981392623059</v>
      </c>
      <c r="R13" s="6">
        <f t="shared" ref="R13:R20" si="3">(1/0.654*100000000000)*LN(1+(0.51315-M13)/(0.2135-L13))/1000000</f>
        <v>530.03441928551229</v>
      </c>
      <c r="S13" s="6">
        <f>1/0.654*100000*LN((M13-0.51325-(L13-0.118)*(EXP(0.654*0.003)-1))/(0.118-0.2168)+1)</f>
        <v>637.79655014243144</v>
      </c>
      <c r="T13" s="5">
        <f t="shared" ref="T13:T20" si="4">L13/0.1967-1</f>
        <v>-0.33726965372862239</v>
      </c>
      <c r="U13" s="15" t="s">
        <v>126</v>
      </c>
    </row>
    <row r="14" spans="1:21" x14ac:dyDescent="0.25">
      <c r="A14" s="15">
        <v>14</v>
      </c>
      <c r="B14" s="2" t="s">
        <v>9</v>
      </c>
      <c r="C14" s="2" t="s">
        <v>157</v>
      </c>
      <c r="D14" s="6">
        <v>300.39999999999998</v>
      </c>
      <c r="E14" s="2">
        <v>77.099999999999994</v>
      </c>
      <c r="F14" s="2">
        <v>78</v>
      </c>
      <c r="G14" s="5">
        <f>(E14/85.47*0.2785)/(F14/87.62*0.0986)</f>
        <v>2.8621843637056621</v>
      </c>
      <c r="H14" s="7">
        <v>0.71829279422367198</v>
      </c>
      <c r="I14" s="7">
        <v>6.4630119235805004E-6</v>
      </c>
      <c r="J14" s="2">
        <v>10.8</v>
      </c>
      <c r="K14" s="2">
        <v>55.5</v>
      </c>
      <c r="L14" s="7">
        <f>((J14/150.36)*0.151)/((K14/144.24)*0.238)</f>
        <v>0.11843611670849827</v>
      </c>
      <c r="M14" s="7">
        <v>0.51284049951612098</v>
      </c>
      <c r="N14" s="7">
        <v>3.2265768309381798E-6</v>
      </c>
      <c r="O14" s="7">
        <f t="shared" si="0"/>
        <v>0.5126078997493827</v>
      </c>
      <c r="P14" s="7">
        <f t="shared" si="1"/>
        <v>0.70607388102783564</v>
      </c>
      <c r="Q14" s="5">
        <f t="shared" si="2"/>
        <v>6.9536907904854672</v>
      </c>
      <c r="R14" s="6">
        <f t="shared" si="3"/>
        <v>497.00644631077159</v>
      </c>
      <c r="S14" s="6">
        <f t="shared" ref="S14:S20" si="5">1/0.654*100000*LN((M14-0.51325-(L14-0.118)*(EXP(0.654*0.003)-1))/(0.118-0.2168)+1)</f>
        <v>633.76287095125349</v>
      </c>
      <c r="T14" s="5">
        <f t="shared" si="4"/>
        <v>-0.3978845108871466</v>
      </c>
      <c r="U14" s="15" t="s">
        <v>126</v>
      </c>
    </row>
    <row r="15" spans="1:21" x14ac:dyDescent="0.25">
      <c r="A15" s="15">
        <v>15</v>
      </c>
      <c r="B15" s="2" t="s">
        <v>10</v>
      </c>
      <c r="C15" s="2" t="s">
        <v>11</v>
      </c>
      <c r="D15" s="6">
        <v>300.7</v>
      </c>
      <c r="E15" s="2">
        <v>141</v>
      </c>
      <c r="F15" s="2">
        <v>54.7</v>
      </c>
      <c r="G15" s="5">
        <f>(E15/85.47*0.2785)/(F15/87.62*0.0986)</f>
        <v>7.4639653698951891</v>
      </c>
      <c r="H15" s="7">
        <v>0.73955263797531101</v>
      </c>
      <c r="I15" s="7">
        <v>6.6787425662396601E-6</v>
      </c>
      <c r="J15" s="2">
        <v>6.2</v>
      </c>
      <c r="K15" s="2">
        <v>29.1</v>
      </c>
      <c r="L15" s="7">
        <f t="shared" ref="L15:L20" si="6">((J15/150.36)*0.151)/((K15/144.24)*0.238)</f>
        <v>0.12967375512089302</v>
      </c>
      <c r="M15" s="7">
        <v>0.51268963870322504</v>
      </c>
      <c r="N15" s="7">
        <v>2.6906606953094598E-6</v>
      </c>
      <c r="O15" s="7">
        <f t="shared" si="0"/>
        <v>0.51243496904643926</v>
      </c>
      <c r="P15" s="7">
        <f t="shared" si="1"/>
        <v>0.70768832269640303</v>
      </c>
      <c r="Q15" s="5">
        <f t="shared" si="2"/>
        <v>3.5777975650463922</v>
      </c>
      <c r="R15" s="6">
        <f t="shared" si="3"/>
        <v>837.43522406653665</v>
      </c>
      <c r="S15" s="6">
        <f t="shared" si="5"/>
        <v>900.05548303364583</v>
      </c>
      <c r="T15" s="5">
        <f t="shared" si="4"/>
        <v>-0.34075365978193695</v>
      </c>
      <c r="U15" s="15" t="s">
        <v>125</v>
      </c>
    </row>
    <row r="16" spans="1:21" x14ac:dyDescent="0.25">
      <c r="A16" s="15">
        <v>16</v>
      </c>
      <c r="B16" s="2" t="s">
        <v>12</v>
      </c>
      <c r="C16" s="2" t="s">
        <v>11</v>
      </c>
      <c r="D16" s="6">
        <v>300.7</v>
      </c>
      <c r="E16" s="2">
        <v>135</v>
      </c>
      <c r="F16" s="2">
        <v>62.1</v>
      </c>
      <c r="G16" s="5">
        <f t="shared" ref="G16:G20" si="7">(E16/85.47*0.2785)/(F16/87.62*0.0986)</f>
        <v>6.2947719046140431</v>
      </c>
      <c r="H16" s="7">
        <v>0.735250562416352</v>
      </c>
      <c r="I16" s="7">
        <v>7.4310091750133099E-6</v>
      </c>
      <c r="J16" s="2">
        <v>6.19</v>
      </c>
      <c r="K16" s="2">
        <v>29.6</v>
      </c>
      <c r="L16" s="7">
        <f t="shared" si="6"/>
        <v>0.12727770181000078</v>
      </c>
      <c r="M16" s="7">
        <v>0.51269794874934105</v>
      </c>
      <c r="N16" s="7">
        <v>3.4707119940037301E-6</v>
      </c>
      <c r="O16" s="7">
        <f t="shared" si="0"/>
        <v>0.5124479847639053</v>
      </c>
      <c r="P16" s="7">
        <f t="shared" si="1"/>
        <v>0.70837763540808396</v>
      </c>
      <c r="Q16" s="5">
        <f t="shared" si="2"/>
        <v>3.8318858886920992</v>
      </c>
      <c r="R16" s="6">
        <f t="shared" si="3"/>
        <v>799.56603891285454</v>
      </c>
      <c r="S16" s="6">
        <f t="shared" si="5"/>
        <v>880.02896504185128</v>
      </c>
      <c r="T16" s="5">
        <f t="shared" si="4"/>
        <v>-0.35293491708184666</v>
      </c>
      <c r="U16" s="15" t="s">
        <v>125</v>
      </c>
    </row>
    <row r="17" spans="1:21" x14ac:dyDescent="0.25">
      <c r="A17" s="15">
        <v>17</v>
      </c>
      <c r="B17" s="2" t="s">
        <v>13</v>
      </c>
      <c r="C17" s="2" t="s">
        <v>11</v>
      </c>
      <c r="D17" s="6">
        <v>300</v>
      </c>
      <c r="E17" s="2">
        <v>134</v>
      </c>
      <c r="F17" s="2">
        <v>65.7</v>
      </c>
      <c r="G17" s="5">
        <f t="shared" si="7"/>
        <v>5.9057799117261744</v>
      </c>
      <c r="H17" s="7">
        <v>0.73266357934916904</v>
      </c>
      <c r="I17" s="7">
        <v>6.1416906958035402E-6</v>
      </c>
      <c r="J17" s="2">
        <v>6.03</v>
      </c>
      <c r="K17" s="2">
        <v>28.3</v>
      </c>
      <c r="L17" s="7">
        <f t="shared" si="6"/>
        <v>0.12968336277401379</v>
      </c>
      <c r="M17" s="7">
        <v>0.51270068225215604</v>
      </c>
      <c r="N17" s="7">
        <v>3.5627984661688202E-6</v>
      </c>
      <c r="O17" s="7">
        <f t="shared" si="0"/>
        <v>0.51244599372665067</v>
      </c>
      <c r="P17" s="7">
        <f t="shared" si="1"/>
        <v>0.70745129288357322</v>
      </c>
      <c r="Q17" s="5">
        <f t="shared" si="2"/>
        <v>3.7930175497269403</v>
      </c>
      <c r="R17" s="6">
        <f t="shared" si="3"/>
        <v>817.49314190872735</v>
      </c>
      <c r="S17" s="6">
        <f t="shared" si="5"/>
        <v>883.09262675107277</v>
      </c>
      <c r="T17" s="5">
        <f t="shared" si="4"/>
        <v>-0.34070481558711851</v>
      </c>
      <c r="U17" s="15" t="s">
        <v>125</v>
      </c>
    </row>
    <row r="18" spans="1:21" x14ac:dyDescent="0.25">
      <c r="A18" s="15">
        <v>18</v>
      </c>
      <c r="B18" s="2" t="s">
        <v>14</v>
      </c>
      <c r="C18" s="2" t="s">
        <v>11</v>
      </c>
      <c r="D18" s="6">
        <v>300</v>
      </c>
      <c r="E18" s="2">
        <v>140</v>
      </c>
      <c r="F18" s="2">
        <v>46.7</v>
      </c>
      <c r="G18" s="5">
        <f t="shared" si="7"/>
        <v>8.6805848106454899</v>
      </c>
      <c r="H18" s="7">
        <v>0.74391955289720002</v>
      </c>
      <c r="I18" s="7">
        <v>1.12635261824564E-5</v>
      </c>
      <c r="J18" s="2">
        <v>6.51</v>
      </c>
      <c r="K18" s="2">
        <v>30.9</v>
      </c>
      <c r="L18" s="7">
        <f t="shared" si="6"/>
        <v>0.12822594135012577</v>
      </c>
      <c r="M18" s="7">
        <v>0.51268342913439002</v>
      </c>
      <c r="N18" s="7">
        <v>2.6418012426141898E-6</v>
      </c>
      <c r="O18" s="7">
        <f t="shared" si="0"/>
        <v>0.51243160287668488</v>
      </c>
      <c r="P18" s="7">
        <f t="shared" si="1"/>
        <v>0.70686138374661189</v>
      </c>
      <c r="Q18" s="5">
        <f t="shared" si="2"/>
        <v>3.5120843661973211</v>
      </c>
      <c r="R18" s="6">
        <f t="shared" si="3"/>
        <v>834.32936341643904</v>
      </c>
      <c r="S18" s="6">
        <f t="shared" si="5"/>
        <v>905.23438333880222</v>
      </c>
      <c r="T18" s="5">
        <f t="shared" si="4"/>
        <v>-0.34811417717272108</v>
      </c>
      <c r="U18" s="15" t="s">
        <v>125</v>
      </c>
    </row>
    <row r="19" spans="1:21" x14ac:dyDescent="0.25">
      <c r="A19" s="15">
        <v>19</v>
      </c>
      <c r="B19" s="2" t="s">
        <v>15</v>
      </c>
      <c r="C19" s="2" t="s">
        <v>11</v>
      </c>
      <c r="D19" s="6">
        <v>303</v>
      </c>
      <c r="E19" s="2">
        <v>116</v>
      </c>
      <c r="F19" s="2">
        <v>99.8</v>
      </c>
      <c r="G19" s="5">
        <f t="shared" si="7"/>
        <v>3.3656215313647837</v>
      </c>
      <c r="H19" s="7">
        <v>0.72123550234717304</v>
      </c>
      <c r="I19" s="7">
        <v>6.5880336839778502E-6</v>
      </c>
      <c r="J19" s="2">
        <v>5.88</v>
      </c>
      <c r="K19" s="2">
        <v>27.9</v>
      </c>
      <c r="L19" s="7">
        <f t="shared" si="6"/>
        <v>0.12827041791667107</v>
      </c>
      <c r="M19" s="7">
        <v>0.51265421601247996</v>
      </c>
      <c r="N19" s="7">
        <v>3.4591713064505302E-6</v>
      </c>
      <c r="O19" s="7">
        <f t="shared" si="0"/>
        <v>0.51240230240609019</v>
      </c>
      <c r="P19" s="7">
        <f t="shared" si="1"/>
        <v>0.70686737223533747</v>
      </c>
      <c r="Q19" s="5">
        <f t="shared" si="2"/>
        <v>2.9400907381194052</v>
      </c>
      <c r="R19" s="6">
        <f t="shared" si="3"/>
        <v>886.87882403132539</v>
      </c>
      <c r="S19" s="6">
        <f t="shared" si="5"/>
        <v>950.30616940699076</v>
      </c>
      <c r="T19" s="5">
        <f t="shared" si="4"/>
        <v>-0.3478880634637973</v>
      </c>
      <c r="U19" s="15" t="s">
        <v>125</v>
      </c>
    </row>
    <row r="20" spans="1:21" x14ac:dyDescent="0.25">
      <c r="A20" s="15">
        <v>20</v>
      </c>
      <c r="B20" s="2" t="s">
        <v>16</v>
      </c>
      <c r="C20" s="2" t="s">
        <v>11</v>
      </c>
      <c r="D20" s="6">
        <v>303</v>
      </c>
      <c r="E20" s="2">
        <v>111</v>
      </c>
      <c r="F20" s="2">
        <v>92</v>
      </c>
      <c r="G20" s="5">
        <f t="shared" si="7"/>
        <v>3.4935984070607944</v>
      </c>
      <c r="H20" s="7">
        <v>0.72282259519008196</v>
      </c>
      <c r="I20" s="7">
        <v>7.2837721965506002E-6</v>
      </c>
      <c r="J20" s="2">
        <v>6.16</v>
      </c>
      <c r="K20" s="2">
        <v>30</v>
      </c>
      <c r="L20" s="7">
        <f t="shared" si="6"/>
        <v>0.124972035741671</v>
      </c>
      <c r="M20" s="7">
        <v>0.51269408676270001</v>
      </c>
      <c r="N20" s="7">
        <v>2.9798261131531601E-6</v>
      </c>
      <c r="O20" s="7">
        <f t="shared" si="0"/>
        <v>0.51244865093476022</v>
      </c>
      <c r="P20" s="7">
        <f t="shared" si="1"/>
        <v>0.70790812070049314</v>
      </c>
      <c r="Q20" s="5">
        <f t="shared" si="2"/>
        <v>3.8448906451504783</v>
      </c>
      <c r="R20" s="6">
        <f t="shared" si="3"/>
        <v>785.43106497843667</v>
      </c>
      <c r="S20" s="6">
        <f t="shared" si="5"/>
        <v>879.00389661431575</v>
      </c>
      <c r="T20" s="5">
        <f t="shared" si="4"/>
        <v>-0.36465665611758524</v>
      </c>
      <c r="U20" s="15" t="s">
        <v>125</v>
      </c>
    </row>
    <row r="21" spans="1:21" x14ac:dyDescent="0.25">
      <c r="A21" s="15">
        <v>21</v>
      </c>
      <c r="B21" s="15" t="s">
        <v>30</v>
      </c>
      <c r="C21" s="15" t="s">
        <v>143</v>
      </c>
      <c r="D21" s="17">
        <v>367.3</v>
      </c>
      <c r="E21" s="15">
        <v>98.9</v>
      </c>
      <c r="F21" s="15">
        <v>536</v>
      </c>
      <c r="G21" s="15">
        <v>0.53410000000000002</v>
      </c>
      <c r="H21" s="18">
        <v>0.711893</v>
      </c>
      <c r="I21" s="15">
        <v>1.5E-5</v>
      </c>
      <c r="J21" s="15">
        <v>7.64</v>
      </c>
      <c r="K21" s="15">
        <v>42.4</v>
      </c>
      <c r="L21" s="18">
        <v>0.1089</v>
      </c>
      <c r="M21" s="18">
        <v>0.51232900000000003</v>
      </c>
      <c r="N21" s="15">
        <v>6.0000000000000002E-6</v>
      </c>
      <c r="O21" s="18">
        <v>0.51206700000000005</v>
      </c>
      <c r="P21" s="18">
        <v>0.70909999999999995</v>
      </c>
      <c r="Q21" s="19">
        <v>-1.9</v>
      </c>
      <c r="R21" s="15">
        <v>1196</v>
      </c>
      <c r="S21" s="15">
        <v>1274</v>
      </c>
      <c r="T21" s="15">
        <v>-0.45</v>
      </c>
      <c r="U21" s="15" t="s">
        <v>133</v>
      </c>
    </row>
    <row r="22" spans="1:21" x14ac:dyDescent="0.25">
      <c r="A22" s="15">
        <v>22</v>
      </c>
      <c r="B22" s="15" t="s">
        <v>31</v>
      </c>
      <c r="C22" s="15" t="s">
        <v>143</v>
      </c>
      <c r="D22" s="17">
        <v>367.3</v>
      </c>
      <c r="E22" s="15">
        <v>180</v>
      </c>
      <c r="F22" s="15">
        <v>218</v>
      </c>
      <c r="G22" s="15">
        <v>2.3915000000000002</v>
      </c>
      <c r="H22" s="18">
        <v>0.718727</v>
      </c>
      <c r="I22" s="15">
        <v>1.2E-5</v>
      </c>
      <c r="J22" s="15">
        <v>4.22</v>
      </c>
      <c r="K22" s="15">
        <v>27.2</v>
      </c>
      <c r="L22" s="18">
        <v>9.3799999999999994E-2</v>
      </c>
      <c r="M22" s="18">
        <v>0.51230799999999999</v>
      </c>
      <c r="N22" s="15">
        <v>9.0000000000000002E-6</v>
      </c>
      <c r="O22" s="18">
        <v>0.51208200000000004</v>
      </c>
      <c r="P22" s="18">
        <v>0.70620000000000005</v>
      </c>
      <c r="Q22" s="19">
        <v>-1.6</v>
      </c>
      <c r="R22" s="15">
        <v>1072</v>
      </c>
      <c r="S22" s="15">
        <v>1250</v>
      </c>
      <c r="T22" s="15">
        <v>-0.43</v>
      </c>
      <c r="U22" s="15" t="s">
        <v>133</v>
      </c>
    </row>
    <row r="23" spans="1:21" x14ac:dyDescent="0.25">
      <c r="A23" s="15">
        <v>23</v>
      </c>
      <c r="B23" s="15" t="s">
        <v>32</v>
      </c>
      <c r="C23" s="15" t="s">
        <v>143</v>
      </c>
      <c r="D23" s="17">
        <v>367.3</v>
      </c>
      <c r="E23" s="15">
        <v>44.3</v>
      </c>
      <c r="F23" s="15">
        <v>317</v>
      </c>
      <c r="G23" s="15">
        <v>0.40439999999999998</v>
      </c>
      <c r="H23" s="18">
        <v>0.70991000000000004</v>
      </c>
      <c r="I23" s="15">
        <v>1.2999999999999999E-5</v>
      </c>
      <c r="J23" s="15">
        <v>4.22</v>
      </c>
      <c r="K23" s="15">
        <v>27.2</v>
      </c>
      <c r="L23" s="18">
        <v>9.3799999999999994E-2</v>
      </c>
      <c r="M23" s="18">
        <v>0.51232699999999998</v>
      </c>
      <c r="N23" s="15">
        <v>7.9999999999999996E-6</v>
      </c>
      <c r="O23" s="18">
        <v>0.51210100000000003</v>
      </c>
      <c r="P23" s="18">
        <v>0.70779999999999998</v>
      </c>
      <c r="Q23" s="19">
        <v>-1.2</v>
      </c>
      <c r="R23" s="15">
        <v>1048</v>
      </c>
      <c r="S23" s="15">
        <v>1220</v>
      </c>
      <c r="T23" s="15">
        <v>-0.42</v>
      </c>
      <c r="U23" s="15" t="s">
        <v>133</v>
      </c>
    </row>
    <row r="24" spans="1:21" x14ac:dyDescent="0.25">
      <c r="A24" s="15">
        <v>24</v>
      </c>
      <c r="B24" s="15" t="s">
        <v>33</v>
      </c>
      <c r="C24" s="15" t="s">
        <v>143</v>
      </c>
      <c r="D24" s="17">
        <v>368.2</v>
      </c>
      <c r="E24" s="15">
        <v>141</v>
      </c>
      <c r="F24" s="15">
        <v>285</v>
      </c>
      <c r="G24" s="15">
        <v>1.4323999999999999</v>
      </c>
      <c r="H24" s="18">
        <v>0.714781</v>
      </c>
      <c r="I24" s="15">
        <v>1.1E-5</v>
      </c>
      <c r="J24" s="15">
        <v>4.51</v>
      </c>
      <c r="K24" s="15">
        <v>24.4</v>
      </c>
      <c r="L24" s="18">
        <v>0.11169999999999999</v>
      </c>
      <c r="M24" s="18">
        <v>0.51227999999999996</v>
      </c>
      <c r="N24" s="15">
        <v>1.1E-5</v>
      </c>
      <c r="O24" s="18">
        <v>0.51201099999999999</v>
      </c>
      <c r="P24" s="18">
        <v>0.70730000000000004</v>
      </c>
      <c r="Q24" s="19">
        <v>-3</v>
      </c>
      <c r="R24" s="15">
        <v>1301</v>
      </c>
      <c r="S24" s="15">
        <v>1363</v>
      </c>
      <c r="T24" s="15">
        <v>-0.52</v>
      </c>
      <c r="U24" s="15" t="s">
        <v>132</v>
      </c>
    </row>
    <row r="25" spans="1:21" x14ac:dyDescent="0.25">
      <c r="A25" s="15">
        <v>25</v>
      </c>
      <c r="B25" s="15" t="s">
        <v>34</v>
      </c>
      <c r="C25" s="15" t="s">
        <v>143</v>
      </c>
      <c r="D25" s="17">
        <v>368.2</v>
      </c>
      <c r="E25" s="15">
        <v>89.2</v>
      </c>
      <c r="F25" s="15">
        <v>357</v>
      </c>
      <c r="G25" s="15">
        <v>0.72319999999999995</v>
      </c>
      <c r="H25" s="18">
        <v>0.71144200000000002</v>
      </c>
      <c r="I25" s="15">
        <v>1.5E-5</v>
      </c>
      <c r="J25" s="15">
        <v>5.82</v>
      </c>
      <c r="K25" s="15">
        <v>30.8</v>
      </c>
      <c r="L25" s="18">
        <v>0.1142</v>
      </c>
      <c r="M25" s="18">
        <v>0.51230699999999996</v>
      </c>
      <c r="N25" s="15">
        <v>7.9999999999999996E-6</v>
      </c>
      <c r="O25" s="18">
        <v>0.51203200000000004</v>
      </c>
      <c r="P25" s="18">
        <v>0.7077</v>
      </c>
      <c r="Q25" s="19">
        <v>-2.6</v>
      </c>
      <c r="R25" s="15">
        <v>1293</v>
      </c>
      <c r="S25" s="15">
        <v>1330</v>
      </c>
      <c r="T25" s="15">
        <v>-0.52</v>
      </c>
      <c r="U25" s="15" t="s">
        <v>132</v>
      </c>
    </row>
    <row r="26" spans="1:21" x14ac:dyDescent="0.25">
      <c r="A26" s="15">
        <v>26</v>
      </c>
      <c r="B26" s="28" t="s">
        <v>193</v>
      </c>
      <c r="C26" s="9" t="s">
        <v>146</v>
      </c>
      <c r="D26" s="20">
        <v>366</v>
      </c>
      <c r="E26" s="9">
        <v>92.34</v>
      </c>
      <c r="F26" s="9">
        <v>308.3</v>
      </c>
      <c r="G26" s="10">
        <v>0.84465903976334544</v>
      </c>
      <c r="H26" s="14">
        <v>0.71184758652502078</v>
      </c>
      <c r="I26" s="9">
        <v>5.0000000000000004E-6</v>
      </c>
      <c r="J26" s="9">
        <v>2.0819999999999999</v>
      </c>
      <c r="K26" s="9">
        <v>10.6</v>
      </c>
      <c r="L26" s="14">
        <v>0.11954412754877433</v>
      </c>
      <c r="M26" s="14">
        <v>0.51226631536814737</v>
      </c>
      <c r="N26" s="21">
        <v>6.0000000000000002E-6</v>
      </c>
      <c r="O26" s="18"/>
      <c r="P26" s="14">
        <v>0.70744630024846</v>
      </c>
      <c r="Q26" s="12">
        <v>-3.6468609539230812</v>
      </c>
      <c r="R26" s="11">
        <v>1423.2368064343354</v>
      </c>
      <c r="S26" s="12"/>
      <c r="T26" s="15"/>
      <c r="U26" s="15" t="s">
        <v>131</v>
      </c>
    </row>
    <row r="27" spans="1:21" x14ac:dyDescent="0.25">
      <c r="A27" s="15">
        <v>27</v>
      </c>
      <c r="B27" s="28" t="s">
        <v>35</v>
      </c>
      <c r="C27" s="9" t="s">
        <v>146</v>
      </c>
      <c r="D27" s="20">
        <v>366</v>
      </c>
      <c r="E27" s="9">
        <v>33.28</v>
      </c>
      <c r="F27" s="9">
        <v>420</v>
      </c>
      <c r="G27" s="10">
        <v>0.22345965096890452</v>
      </c>
      <c r="H27" s="14">
        <v>0.70711658253223064</v>
      </c>
      <c r="I27" s="9">
        <v>5.0000000000000004E-6</v>
      </c>
      <c r="J27" s="9">
        <v>3.5750000000000002</v>
      </c>
      <c r="K27" s="9">
        <v>15.66</v>
      </c>
      <c r="L27" s="14">
        <v>0.13894332107294427</v>
      </c>
      <c r="M27" s="14">
        <v>0.5126735354128058</v>
      </c>
      <c r="N27" s="21">
        <v>5.0000000000000004E-6</v>
      </c>
      <c r="O27" s="18"/>
      <c r="P27" s="14">
        <v>0.70595219566264822</v>
      </c>
      <c r="Q27" s="12">
        <v>3.3963499031508526</v>
      </c>
      <c r="R27" s="11">
        <v>846.92650503066739</v>
      </c>
      <c r="S27" s="12"/>
      <c r="T27" s="15"/>
      <c r="U27" s="15" t="s">
        <v>131</v>
      </c>
    </row>
    <row r="28" spans="1:21" x14ac:dyDescent="0.25">
      <c r="A28" s="15">
        <v>28</v>
      </c>
      <c r="B28" s="28" t="s">
        <v>36</v>
      </c>
      <c r="C28" s="9" t="s">
        <v>146</v>
      </c>
      <c r="D28" s="20">
        <v>366</v>
      </c>
      <c r="E28" s="9">
        <v>135.69999999999999</v>
      </c>
      <c r="F28" s="9">
        <v>131.9</v>
      </c>
      <c r="G28" s="10"/>
      <c r="H28" s="14"/>
      <c r="I28" s="9"/>
      <c r="J28" s="9">
        <v>6.0540000000000003</v>
      </c>
      <c r="K28" s="9">
        <v>33.479999999999997</v>
      </c>
      <c r="L28" s="14">
        <v>0.11005514598462682</v>
      </c>
      <c r="M28" s="14">
        <v>0.51250162937147781</v>
      </c>
      <c r="N28" s="21">
        <v>6.0000000000000002E-6</v>
      </c>
      <c r="O28" s="18"/>
      <c r="P28" s="14"/>
      <c r="Q28" s="12">
        <v>1.3916247833245521</v>
      </c>
      <c r="R28" s="11">
        <v>1011.1842794546466</v>
      </c>
      <c r="S28" s="12"/>
      <c r="T28" s="15"/>
      <c r="U28" s="15" t="s">
        <v>130</v>
      </c>
    </row>
    <row r="29" spans="1:21" x14ac:dyDescent="0.25">
      <c r="A29" s="15">
        <v>29</v>
      </c>
      <c r="B29" s="28" t="s">
        <v>37</v>
      </c>
      <c r="C29" s="9" t="s">
        <v>146</v>
      </c>
      <c r="D29" s="20">
        <v>366</v>
      </c>
      <c r="E29" s="9">
        <v>102.5</v>
      </c>
      <c r="F29" s="9">
        <v>382.7</v>
      </c>
      <c r="G29" s="10">
        <v>0.75531914357024077</v>
      </c>
      <c r="H29" s="14">
        <v>0.7116188669940624</v>
      </c>
      <c r="I29" s="9">
        <v>5.0000000000000004E-6</v>
      </c>
      <c r="J29" s="9">
        <v>3.0129999999999999</v>
      </c>
      <c r="K29" s="9">
        <v>14.69</v>
      </c>
      <c r="L29" s="14">
        <v>0.12483337802341063</v>
      </c>
      <c r="M29" s="14">
        <v>0.51217721245160897</v>
      </c>
      <c r="N29" s="21">
        <v>5.0000000000000004E-6</v>
      </c>
      <c r="O29" s="18"/>
      <c r="P29" s="14">
        <v>0.70768310637999166</v>
      </c>
      <c r="Q29" s="12">
        <v>-5.6340784169273128</v>
      </c>
      <c r="R29" s="11">
        <v>1585.4486338320683</v>
      </c>
      <c r="S29" s="12"/>
      <c r="T29" s="15"/>
      <c r="U29" s="15" t="s">
        <v>130</v>
      </c>
    </row>
    <row r="30" spans="1:21" x14ac:dyDescent="0.25">
      <c r="A30" s="15">
        <v>30</v>
      </c>
      <c r="B30" s="28" t="s">
        <v>38</v>
      </c>
      <c r="C30" s="9" t="s">
        <v>146</v>
      </c>
      <c r="D30" s="20">
        <v>366</v>
      </c>
      <c r="E30" s="9">
        <v>127.5</v>
      </c>
      <c r="F30" s="9">
        <v>401.2</v>
      </c>
      <c r="G30" s="10">
        <v>0.89621941787204806</v>
      </c>
      <c r="H30" s="14">
        <v>0.71196159626060984</v>
      </c>
      <c r="I30" s="9">
        <v>5.0000000000000004E-6</v>
      </c>
      <c r="J30" s="9">
        <v>3.0710000000000002</v>
      </c>
      <c r="K30" s="9">
        <v>17.64</v>
      </c>
      <c r="L30" s="14">
        <v>0.10595821234281727</v>
      </c>
      <c r="M30" s="14">
        <v>0.51237942299784045</v>
      </c>
      <c r="N30" s="21">
        <v>6.0000000000000002E-6</v>
      </c>
      <c r="O30" s="18"/>
      <c r="P30" s="14">
        <v>0.70729164301441871</v>
      </c>
      <c r="Q30" s="12">
        <v>-0.80274013153136536</v>
      </c>
      <c r="R30" s="11">
        <v>1190.7781995256621</v>
      </c>
      <c r="S30" s="12"/>
      <c r="T30" s="15"/>
      <c r="U30" s="15" t="s">
        <v>130</v>
      </c>
    </row>
    <row r="31" spans="1:21" x14ac:dyDescent="0.25">
      <c r="A31" s="15">
        <v>31</v>
      </c>
      <c r="B31" s="28" t="s">
        <v>39</v>
      </c>
      <c r="C31" s="9" t="s">
        <v>146</v>
      </c>
      <c r="D31" s="20">
        <v>366</v>
      </c>
      <c r="E31" s="9">
        <v>56.33</v>
      </c>
      <c r="F31" s="9">
        <v>371.5</v>
      </c>
      <c r="G31" s="10">
        <v>0.4276081972134898</v>
      </c>
      <c r="H31" s="14">
        <v>0.70943168022447045</v>
      </c>
      <c r="I31" s="9">
        <v>5.0000000000000004E-6</v>
      </c>
      <c r="J31" s="9">
        <v>2.9380000000000002</v>
      </c>
      <c r="K31" s="9">
        <v>16.29</v>
      </c>
      <c r="L31" s="14">
        <v>0.10977010864635782</v>
      </c>
      <c r="M31" s="14">
        <v>0.51223891566972213</v>
      </c>
      <c r="N31" s="21">
        <v>6.0000000000000002E-6</v>
      </c>
      <c r="O31" s="18"/>
      <c r="P31" s="14">
        <v>0.70720353134836544</v>
      </c>
      <c r="Q31" s="12">
        <v>-3.7244957163828918</v>
      </c>
      <c r="R31" s="11">
        <v>1429.5771783049634</v>
      </c>
      <c r="S31" s="12"/>
      <c r="T31" s="15"/>
      <c r="U31" s="15" t="s">
        <v>130</v>
      </c>
    </row>
    <row r="32" spans="1:21" x14ac:dyDescent="0.25">
      <c r="A32" s="15">
        <v>32</v>
      </c>
      <c r="B32" s="9" t="s">
        <v>40</v>
      </c>
      <c r="C32" s="9" t="s">
        <v>144</v>
      </c>
      <c r="D32" s="20">
        <v>316</v>
      </c>
      <c r="E32" s="9"/>
      <c r="F32" s="9"/>
      <c r="G32" s="9"/>
      <c r="H32" s="14"/>
      <c r="I32" s="9"/>
      <c r="J32" s="9">
        <v>5.8040000000000003</v>
      </c>
      <c r="K32" s="9">
        <v>26.8</v>
      </c>
      <c r="L32" s="14">
        <v>0.13049474555986745</v>
      </c>
      <c r="M32" s="14">
        <v>0.51267209793682267</v>
      </c>
      <c r="N32" s="21">
        <v>9.3999999999999998E-6</v>
      </c>
      <c r="O32" s="18"/>
      <c r="P32" s="14"/>
      <c r="Q32" s="12">
        <v>3.286453473798634</v>
      </c>
      <c r="R32" s="11">
        <v>814.61418928006799</v>
      </c>
      <c r="S32" s="12"/>
      <c r="T32" s="15"/>
      <c r="U32" s="15" t="s">
        <v>130</v>
      </c>
    </row>
    <row r="33" spans="1:21" x14ac:dyDescent="0.25">
      <c r="A33" s="15">
        <v>33</v>
      </c>
      <c r="B33" s="9" t="s">
        <v>41</v>
      </c>
      <c r="C33" s="9" t="s">
        <v>144</v>
      </c>
      <c r="D33" s="20">
        <v>316</v>
      </c>
      <c r="E33" s="9"/>
      <c r="F33" s="9"/>
      <c r="G33" s="9"/>
      <c r="H33" s="14"/>
      <c r="I33" s="9"/>
      <c r="J33" s="9">
        <v>3.1640000000000001</v>
      </c>
      <c r="K33" s="9">
        <v>14.44</v>
      </c>
      <c r="L33" s="14">
        <v>0.13737419702120787</v>
      </c>
      <c r="M33" s="14">
        <v>0.51250969853934014</v>
      </c>
      <c r="N33" s="21">
        <v>7.2000000000000005E-6</v>
      </c>
      <c r="O33" s="18"/>
      <c r="P33" s="14"/>
      <c r="Q33" s="12">
        <v>5.3427579769227407E-2</v>
      </c>
      <c r="R33" s="11">
        <v>1079.5152878439544</v>
      </c>
      <c r="S33" s="12"/>
      <c r="T33" s="15"/>
      <c r="U33" s="15" t="s">
        <v>130</v>
      </c>
    </row>
    <row r="34" spans="1:21" x14ac:dyDescent="0.25">
      <c r="A34" s="15">
        <v>37</v>
      </c>
      <c r="B34" s="16" t="s">
        <v>42</v>
      </c>
      <c r="C34" s="16" t="s">
        <v>43</v>
      </c>
      <c r="D34" s="22">
        <v>305.5</v>
      </c>
      <c r="E34" s="16">
        <v>41.39</v>
      </c>
      <c r="F34" s="16">
        <v>319.2</v>
      </c>
      <c r="G34" s="16">
        <v>0.38940000000000002</v>
      </c>
      <c r="H34" s="23">
        <v>0.70758500000000002</v>
      </c>
      <c r="I34" s="16">
        <v>6.0000000000000002E-6</v>
      </c>
      <c r="J34" s="16">
        <v>1.756</v>
      </c>
      <c r="K34" s="16">
        <v>10.98</v>
      </c>
      <c r="L34" s="23">
        <v>9.74E-2</v>
      </c>
      <c r="M34" s="23">
        <v>0.512486</v>
      </c>
      <c r="N34" s="21">
        <v>6.0000000000000002E-6</v>
      </c>
      <c r="O34" s="23">
        <v>0.51229100000000005</v>
      </c>
      <c r="P34" s="23">
        <v>0.70589000000000002</v>
      </c>
      <c r="Q34" s="24">
        <v>0.91</v>
      </c>
      <c r="R34" s="16">
        <v>873</v>
      </c>
      <c r="S34" s="16">
        <v>994</v>
      </c>
      <c r="T34" s="16">
        <v>-0.5</v>
      </c>
      <c r="U34" s="15" t="s">
        <v>129</v>
      </c>
    </row>
    <row r="35" spans="1:21" x14ac:dyDescent="0.25">
      <c r="A35" s="15">
        <v>38</v>
      </c>
      <c r="B35" s="16" t="s">
        <v>44</v>
      </c>
      <c r="C35" s="16" t="s">
        <v>43</v>
      </c>
      <c r="D35" s="22">
        <v>305.5</v>
      </c>
      <c r="E35" s="16">
        <v>50.36</v>
      </c>
      <c r="F35" s="16">
        <v>272.10000000000002</v>
      </c>
      <c r="G35" s="16">
        <v>0.53869999999999996</v>
      </c>
      <c r="H35" s="23">
        <v>0.70806100000000005</v>
      </c>
      <c r="I35" s="16">
        <v>9.0000000000000002E-6</v>
      </c>
      <c r="J35" s="16">
        <v>2.0150000000000001</v>
      </c>
      <c r="K35" s="16">
        <v>12.59</v>
      </c>
      <c r="L35" s="23">
        <v>9.5799999999999996E-2</v>
      </c>
      <c r="M35" s="23">
        <v>0.51247900000000002</v>
      </c>
      <c r="N35" s="21">
        <v>9.0000000000000002E-6</v>
      </c>
      <c r="O35" s="23">
        <v>0.51228700000000005</v>
      </c>
      <c r="P35" s="23">
        <v>0.70572000000000001</v>
      </c>
      <c r="Q35" s="24">
        <v>0.84</v>
      </c>
      <c r="R35" s="16">
        <v>870</v>
      </c>
      <c r="S35" s="16">
        <v>1001</v>
      </c>
      <c r="T35" s="16">
        <v>-0.51</v>
      </c>
      <c r="U35" s="15" t="s">
        <v>129</v>
      </c>
    </row>
    <row r="36" spans="1:21" x14ac:dyDescent="0.25">
      <c r="A36" s="15">
        <v>39</v>
      </c>
      <c r="B36" s="16" t="s">
        <v>45</v>
      </c>
      <c r="C36" s="16" t="s">
        <v>43</v>
      </c>
      <c r="D36" s="22">
        <v>305.5</v>
      </c>
      <c r="E36" s="16">
        <v>75.08</v>
      </c>
      <c r="F36" s="16">
        <v>217.4</v>
      </c>
      <c r="G36" s="16">
        <v>1.032</v>
      </c>
      <c r="H36" s="23">
        <v>0.71041299999999996</v>
      </c>
      <c r="I36" s="16">
        <v>7.9999999999999996E-6</v>
      </c>
      <c r="J36" s="16">
        <v>2.3079999999999998</v>
      </c>
      <c r="K36" s="16">
        <v>11.43</v>
      </c>
      <c r="L36" s="23">
        <v>0.1207</v>
      </c>
      <c r="M36" s="23">
        <v>0.51253099999999996</v>
      </c>
      <c r="N36" s="21">
        <v>5.0000000000000004E-6</v>
      </c>
      <c r="O36" s="23">
        <v>0.51229000000000002</v>
      </c>
      <c r="P36" s="23">
        <v>0.70592999999999995</v>
      </c>
      <c r="Q36" s="24">
        <v>0.88</v>
      </c>
      <c r="R36" s="16">
        <v>1017</v>
      </c>
      <c r="S36" s="16">
        <v>997</v>
      </c>
      <c r="T36" s="16">
        <v>-0.39</v>
      </c>
      <c r="U36" s="15" t="s">
        <v>129</v>
      </c>
    </row>
    <row r="37" spans="1:21" x14ac:dyDescent="0.25">
      <c r="A37" s="15">
        <v>42</v>
      </c>
      <c r="B37" s="15" t="s">
        <v>46</v>
      </c>
      <c r="C37" s="16" t="s">
        <v>43</v>
      </c>
      <c r="D37" s="17">
        <v>346.1</v>
      </c>
      <c r="E37" s="15">
        <v>116.7</v>
      </c>
      <c r="F37" s="15">
        <v>253.1</v>
      </c>
      <c r="G37" s="15">
        <v>1.3340000000000001</v>
      </c>
      <c r="H37" s="18">
        <v>0.71512799999999999</v>
      </c>
      <c r="I37" s="15">
        <v>1.1E-5</v>
      </c>
      <c r="J37" s="15">
        <v>4.2640000000000002</v>
      </c>
      <c r="K37" s="15">
        <v>20.43</v>
      </c>
      <c r="L37" s="18">
        <v>0.12620000000000001</v>
      </c>
      <c r="M37" s="18">
        <v>0.51232800000000001</v>
      </c>
      <c r="N37" s="21">
        <v>1.2E-5</v>
      </c>
      <c r="O37" s="18">
        <v>0.51203799999999999</v>
      </c>
      <c r="P37" s="18">
        <v>0.70847899999999997</v>
      </c>
      <c r="Q37" s="19">
        <v>-2.9</v>
      </c>
      <c r="R37" s="6">
        <f t="shared" ref="R37:R52" si="8">(1/0.654*100000000000)*LN(1+(0.51315-M37)/(0.2135-L37))/1000000</f>
        <v>1432.9900847436959</v>
      </c>
      <c r="S37" s="6">
        <f t="shared" ref="S37:S52" si="9">1/0.654*100000*LN((M37-0.51325-(L37-0.118)*(EXP(0.654*0.0034)-1))/(0.118-0.2168)+1)</f>
        <v>1448.278294757999</v>
      </c>
      <c r="T37" s="5">
        <f t="shared" ref="T37:T52" si="10">L37/0.1967-1</f>
        <v>-0.3584138281647179</v>
      </c>
      <c r="U37" s="15" t="s">
        <v>177</v>
      </c>
    </row>
    <row r="38" spans="1:21" x14ac:dyDescent="0.25">
      <c r="A38" s="15">
        <v>43</v>
      </c>
      <c r="B38" s="15" t="s">
        <v>47</v>
      </c>
      <c r="C38" s="16" t="s">
        <v>43</v>
      </c>
      <c r="D38" s="17">
        <v>346.1</v>
      </c>
      <c r="E38" s="15">
        <v>134.69999999999999</v>
      </c>
      <c r="F38" s="15">
        <v>137</v>
      </c>
      <c r="G38" s="15">
        <v>2.8490000000000002</v>
      </c>
      <c r="H38" s="18">
        <v>0.72236599999999995</v>
      </c>
      <c r="I38" s="15">
        <v>1.1E-5</v>
      </c>
      <c r="J38" s="15">
        <v>4.2720000000000002</v>
      </c>
      <c r="K38" s="15">
        <v>22.37</v>
      </c>
      <c r="L38" s="18">
        <v>0.11550000000000001</v>
      </c>
      <c r="M38" s="18">
        <v>0.51233499999999998</v>
      </c>
      <c r="N38" s="21">
        <v>1.2E-5</v>
      </c>
      <c r="O38" s="18">
        <v>0.51207000000000003</v>
      </c>
      <c r="P38" s="18">
        <v>0.70817099999999999</v>
      </c>
      <c r="Q38" s="19">
        <v>-2.29</v>
      </c>
      <c r="R38" s="6">
        <f t="shared" si="8"/>
        <v>1266.3511348357611</v>
      </c>
      <c r="S38" s="6">
        <f t="shared" si="9"/>
        <v>1401.0244314953623</v>
      </c>
      <c r="T38" s="5">
        <f t="shared" si="10"/>
        <v>-0.41281138790035588</v>
      </c>
      <c r="U38" s="15" t="s">
        <v>177</v>
      </c>
    </row>
    <row r="39" spans="1:21" x14ac:dyDescent="0.25">
      <c r="A39" s="15">
        <v>44</v>
      </c>
      <c r="B39" s="15" t="s">
        <v>48</v>
      </c>
      <c r="C39" s="16" t="s">
        <v>43</v>
      </c>
      <c r="D39" s="17">
        <v>346.1</v>
      </c>
      <c r="E39" s="15">
        <v>108.1</v>
      </c>
      <c r="F39" s="15">
        <v>257.5</v>
      </c>
      <c r="G39" s="15">
        <v>1.216</v>
      </c>
      <c r="H39" s="18">
        <v>0.71479999999999999</v>
      </c>
      <c r="I39" s="15">
        <v>1.1E-5</v>
      </c>
      <c r="J39" s="15">
        <v>6.3810000000000002</v>
      </c>
      <c r="K39" s="15">
        <v>31.83</v>
      </c>
      <c r="L39" s="18">
        <v>0.1212</v>
      </c>
      <c r="M39" s="18">
        <v>0.51235299999999995</v>
      </c>
      <c r="N39" s="21">
        <v>1.1E-5</v>
      </c>
      <c r="O39" s="18">
        <v>0.51207499999999995</v>
      </c>
      <c r="P39" s="18">
        <v>0.70874300000000001</v>
      </c>
      <c r="Q39" s="19">
        <v>-2.19</v>
      </c>
      <c r="R39" s="6">
        <f t="shared" si="8"/>
        <v>1314.6511986770563</v>
      </c>
      <c r="S39" s="6">
        <f t="shared" si="9"/>
        <v>1392.8791747840326</v>
      </c>
      <c r="T39" s="5">
        <f t="shared" si="10"/>
        <v>-0.38383324860193191</v>
      </c>
      <c r="U39" s="15" t="s">
        <v>176</v>
      </c>
    </row>
    <row r="40" spans="1:21" x14ac:dyDescent="0.25">
      <c r="A40" s="15">
        <v>45</v>
      </c>
      <c r="B40" s="15" t="s">
        <v>49</v>
      </c>
      <c r="C40" s="16" t="s">
        <v>43</v>
      </c>
      <c r="D40" s="17">
        <v>346.1</v>
      </c>
      <c r="E40" s="15">
        <v>128.80000000000001</v>
      </c>
      <c r="F40" s="15">
        <v>383.9</v>
      </c>
      <c r="G40" s="15">
        <v>0.97199999999999998</v>
      </c>
      <c r="H40" s="18">
        <v>0.71283799999999997</v>
      </c>
      <c r="I40" s="15">
        <v>1.1E-5</v>
      </c>
      <c r="J40" s="15">
        <v>5.6980000000000004</v>
      </c>
      <c r="K40" s="15">
        <v>25.25</v>
      </c>
      <c r="L40" s="18">
        <v>0.13639999999999999</v>
      </c>
      <c r="M40" s="18">
        <v>0.51246899999999995</v>
      </c>
      <c r="N40" s="21">
        <v>1.4E-5</v>
      </c>
      <c r="O40" s="18">
        <v>0.51215599999999994</v>
      </c>
      <c r="P40" s="18">
        <v>0.70799699999999999</v>
      </c>
      <c r="Q40" s="19">
        <v>-0.61</v>
      </c>
      <c r="R40" s="6">
        <f t="shared" si="8"/>
        <v>1344.6337692952516</v>
      </c>
      <c r="S40" s="6">
        <f t="shared" si="9"/>
        <v>1266.8218768680981</v>
      </c>
      <c r="T40" s="5">
        <f t="shared" si="10"/>
        <v>-0.3065582104728013</v>
      </c>
      <c r="U40" s="15" t="s">
        <v>176</v>
      </c>
    </row>
    <row r="41" spans="1:21" x14ac:dyDescent="0.25">
      <c r="A41" s="15">
        <v>46</v>
      </c>
      <c r="B41" s="15" t="s">
        <v>50</v>
      </c>
      <c r="C41" s="16" t="s">
        <v>43</v>
      </c>
      <c r="D41" s="17">
        <v>346.1</v>
      </c>
      <c r="E41" s="15">
        <v>145.4</v>
      </c>
      <c r="F41" s="15">
        <v>306.8</v>
      </c>
      <c r="G41" s="15">
        <v>1.3720000000000001</v>
      </c>
      <c r="H41" s="18">
        <v>0.71577100000000005</v>
      </c>
      <c r="I41" s="15">
        <v>1.1E-5</v>
      </c>
      <c r="J41" s="15">
        <v>3.359</v>
      </c>
      <c r="K41" s="15">
        <v>17.059999999999999</v>
      </c>
      <c r="L41" s="18">
        <v>0.11899999999999999</v>
      </c>
      <c r="M41" s="18">
        <v>0.512382</v>
      </c>
      <c r="N41" s="21">
        <v>1.7E-5</v>
      </c>
      <c r="O41" s="18">
        <v>0.51210900000000004</v>
      </c>
      <c r="P41" s="18">
        <v>0.70893399999999995</v>
      </c>
      <c r="Q41" s="19">
        <v>-1.52</v>
      </c>
      <c r="R41" s="6">
        <f t="shared" si="8"/>
        <v>1237.6357845993023</v>
      </c>
      <c r="S41" s="6">
        <f t="shared" si="9"/>
        <v>1340.8856954790608</v>
      </c>
      <c r="T41" s="5">
        <f t="shared" si="10"/>
        <v>-0.39501779359430611</v>
      </c>
      <c r="U41" s="15" t="s">
        <v>176</v>
      </c>
    </row>
    <row r="42" spans="1:21" x14ac:dyDescent="0.25">
      <c r="A42" s="15">
        <v>47</v>
      </c>
      <c r="B42" s="15" t="s">
        <v>51</v>
      </c>
      <c r="C42" s="16" t="s">
        <v>43</v>
      </c>
      <c r="D42" s="17">
        <v>346.1</v>
      </c>
      <c r="E42" s="15">
        <v>175.5</v>
      </c>
      <c r="F42" s="15">
        <v>271.2</v>
      </c>
      <c r="G42" s="15">
        <v>1.8740000000000001</v>
      </c>
      <c r="H42" s="18">
        <v>0.71754499999999999</v>
      </c>
      <c r="I42" s="15">
        <v>1.1E-5</v>
      </c>
      <c r="J42" s="15">
        <v>5.8319999999999999</v>
      </c>
      <c r="K42" s="15">
        <v>30.61</v>
      </c>
      <c r="L42" s="18">
        <v>0.1152</v>
      </c>
      <c r="M42" s="18">
        <v>0.51230100000000001</v>
      </c>
      <c r="N42" s="21">
        <v>1.2E-5</v>
      </c>
      <c r="O42" s="18">
        <v>0.51203699999999996</v>
      </c>
      <c r="P42" s="18">
        <v>0.708206</v>
      </c>
      <c r="Q42" s="19">
        <v>-2.94</v>
      </c>
      <c r="R42" s="6">
        <f t="shared" si="8"/>
        <v>1314.9452650044152</v>
      </c>
      <c r="S42" s="6">
        <f t="shared" si="9"/>
        <v>1452.1310452299947</v>
      </c>
      <c r="T42" s="5">
        <f t="shared" si="10"/>
        <v>-0.41433655312658879</v>
      </c>
      <c r="U42" s="15" t="s">
        <v>176</v>
      </c>
    </row>
    <row r="43" spans="1:21" x14ac:dyDescent="0.25">
      <c r="A43" s="15">
        <v>48</v>
      </c>
      <c r="B43" s="15" t="s">
        <v>52</v>
      </c>
      <c r="C43" s="16" t="s">
        <v>43</v>
      </c>
      <c r="D43" s="17">
        <v>346.1</v>
      </c>
      <c r="E43" s="15">
        <v>174.4</v>
      </c>
      <c r="F43" s="15">
        <v>184.3</v>
      </c>
      <c r="G43" s="15">
        <v>2.742</v>
      </c>
      <c r="H43" s="18">
        <v>0.72306999999999999</v>
      </c>
      <c r="I43" s="15">
        <v>1.1E-5</v>
      </c>
      <c r="J43" s="15">
        <v>3.544</v>
      </c>
      <c r="K43" s="15">
        <v>16.920000000000002</v>
      </c>
      <c r="L43" s="18">
        <v>0.12659999999999999</v>
      </c>
      <c r="M43" s="18">
        <v>0.51244100000000004</v>
      </c>
      <c r="N43" s="21">
        <v>1.1E-5</v>
      </c>
      <c r="O43" s="18">
        <v>0.51214999999999999</v>
      </c>
      <c r="P43" s="18">
        <v>0.70940999999999999</v>
      </c>
      <c r="Q43" s="19">
        <v>-0.72</v>
      </c>
      <c r="R43" s="6">
        <f t="shared" si="8"/>
        <v>1242.4617919972609</v>
      </c>
      <c r="S43" s="6">
        <f t="shared" si="9"/>
        <v>1276.3138498422152</v>
      </c>
      <c r="T43" s="5">
        <f t="shared" si="10"/>
        <v>-0.35638027452974086</v>
      </c>
      <c r="U43" s="15" t="s">
        <v>176</v>
      </c>
    </row>
    <row r="44" spans="1:21" x14ac:dyDescent="0.25">
      <c r="A44" s="15">
        <v>49</v>
      </c>
      <c r="B44" s="15" t="s">
        <v>53</v>
      </c>
      <c r="C44" s="16" t="s">
        <v>43</v>
      </c>
      <c r="D44" s="17">
        <v>346.1</v>
      </c>
      <c r="E44" s="15">
        <v>116.3</v>
      </c>
      <c r="F44" s="15">
        <v>426.3</v>
      </c>
      <c r="G44" s="15">
        <v>0.78900000000000003</v>
      </c>
      <c r="H44" s="18">
        <v>0.71178900000000001</v>
      </c>
      <c r="I44" s="15">
        <v>1.1E-5</v>
      </c>
      <c r="J44" s="15">
        <v>4.4939999999999998</v>
      </c>
      <c r="K44" s="15">
        <v>22.93</v>
      </c>
      <c r="L44" s="18">
        <v>0.11849999999999999</v>
      </c>
      <c r="M44" s="18">
        <v>0.51242500000000002</v>
      </c>
      <c r="N44" s="21">
        <v>1.1E-5</v>
      </c>
      <c r="O44" s="18">
        <v>0.51215299999999997</v>
      </c>
      <c r="P44" s="18">
        <v>0.70785600000000004</v>
      </c>
      <c r="Q44" s="19">
        <v>-0.66</v>
      </c>
      <c r="R44" s="6">
        <f t="shared" si="8"/>
        <v>1162.4779453848878</v>
      </c>
      <c r="S44" s="6">
        <f t="shared" si="9"/>
        <v>1273.1964159487447</v>
      </c>
      <c r="T44" s="5">
        <f t="shared" si="10"/>
        <v>-0.39755973563802749</v>
      </c>
      <c r="U44" s="15" t="s">
        <v>176</v>
      </c>
    </row>
    <row r="45" spans="1:21" x14ac:dyDescent="0.25">
      <c r="A45" s="15">
        <v>50</v>
      </c>
      <c r="B45" s="15" t="s">
        <v>54</v>
      </c>
      <c r="C45" s="16" t="s">
        <v>145</v>
      </c>
      <c r="D45" s="17">
        <v>354</v>
      </c>
      <c r="E45" s="15">
        <v>31.03</v>
      </c>
      <c r="F45" s="15">
        <v>66.47</v>
      </c>
      <c r="G45" s="15">
        <v>1.3520000000000001</v>
      </c>
      <c r="H45" s="18">
        <v>0.715221</v>
      </c>
      <c r="I45" s="15">
        <v>1.1E-5</v>
      </c>
      <c r="J45" s="15">
        <v>3.3279999999999998</v>
      </c>
      <c r="K45" s="15">
        <v>15.85</v>
      </c>
      <c r="L45" s="18">
        <v>0.12690000000000001</v>
      </c>
      <c r="M45" s="18">
        <v>0.51228799999999997</v>
      </c>
      <c r="N45" s="21">
        <v>1.1E-5</v>
      </c>
      <c r="O45" s="18">
        <v>0.51199700000000004</v>
      </c>
      <c r="P45" s="18">
        <v>0.70848599999999995</v>
      </c>
      <c r="Q45" s="19">
        <v>-3.71</v>
      </c>
      <c r="R45" s="6">
        <f t="shared" si="8"/>
        <v>1514.4644880032722</v>
      </c>
      <c r="S45" s="6">
        <f t="shared" si="9"/>
        <v>1511.9752379510262</v>
      </c>
      <c r="T45" s="5">
        <f t="shared" si="10"/>
        <v>-0.35485510930350783</v>
      </c>
      <c r="U45" s="15" t="s">
        <v>176</v>
      </c>
    </row>
    <row r="46" spans="1:21" x14ac:dyDescent="0.25">
      <c r="A46" s="15">
        <v>51</v>
      </c>
      <c r="B46" s="15" t="s">
        <v>55</v>
      </c>
      <c r="C46" s="16" t="s">
        <v>145</v>
      </c>
      <c r="D46" s="17">
        <v>354</v>
      </c>
      <c r="E46" s="15">
        <v>230</v>
      </c>
      <c r="F46" s="15">
        <v>215.1</v>
      </c>
      <c r="G46" s="15">
        <v>3.0990000000000002</v>
      </c>
      <c r="H46" s="18">
        <v>0.72572400000000004</v>
      </c>
      <c r="I46" s="15">
        <v>1.1E-5</v>
      </c>
      <c r="J46" s="15">
        <v>4.1980000000000004</v>
      </c>
      <c r="K46" s="15">
        <v>20.34</v>
      </c>
      <c r="L46" s="18">
        <v>0.12479999999999999</v>
      </c>
      <c r="M46" s="18">
        <v>0.512355</v>
      </c>
      <c r="N46" s="21">
        <v>9.9999999999999995E-7</v>
      </c>
      <c r="O46" s="18">
        <v>0.512069</v>
      </c>
      <c r="P46" s="18">
        <v>0.71028199999999997</v>
      </c>
      <c r="Q46" s="19">
        <v>-2.2999999999999998</v>
      </c>
      <c r="R46" s="6">
        <f t="shared" si="8"/>
        <v>1364.3529790411942</v>
      </c>
      <c r="S46" s="6">
        <f t="shared" si="9"/>
        <v>1402.1016993088192</v>
      </c>
      <c r="T46" s="5">
        <f t="shared" si="10"/>
        <v>-0.3655312658871378</v>
      </c>
      <c r="U46" s="15" t="s">
        <v>176</v>
      </c>
    </row>
    <row r="47" spans="1:21" x14ac:dyDescent="0.25">
      <c r="A47" s="15">
        <v>52</v>
      </c>
      <c r="B47" s="15" t="s">
        <v>56</v>
      </c>
      <c r="C47" s="16" t="s">
        <v>147</v>
      </c>
      <c r="D47" s="17">
        <v>390</v>
      </c>
      <c r="E47" s="15">
        <v>157.9</v>
      </c>
      <c r="F47" s="15">
        <v>642.70000000000005</v>
      </c>
      <c r="G47" s="15">
        <v>0.73939999999999995</v>
      </c>
      <c r="H47" s="18">
        <v>0.71142499999999997</v>
      </c>
      <c r="I47" s="15">
        <v>1.2999999999999999E-5</v>
      </c>
      <c r="J47" s="15">
        <v>3.3450000000000002</v>
      </c>
      <c r="K47" s="15">
        <v>15.87</v>
      </c>
      <c r="L47" s="18">
        <v>0.12379999999999999</v>
      </c>
      <c r="M47" s="18">
        <v>0.51245600000000002</v>
      </c>
      <c r="N47" s="21">
        <v>5.0000000000000004E-6</v>
      </c>
      <c r="O47" s="18">
        <v>0.51214000000000004</v>
      </c>
      <c r="P47" s="18">
        <v>0.70731900000000003</v>
      </c>
      <c r="Q47" s="19">
        <v>0.08</v>
      </c>
      <c r="R47" s="6">
        <f t="shared" si="8"/>
        <v>1178.4593959123238</v>
      </c>
      <c r="S47" s="6">
        <f t="shared" si="9"/>
        <v>1243.7228260899769</v>
      </c>
      <c r="T47" s="5">
        <f t="shared" si="10"/>
        <v>-0.37061514997458067</v>
      </c>
      <c r="U47" s="15" t="s">
        <v>176</v>
      </c>
    </row>
    <row r="48" spans="1:21" x14ac:dyDescent="0.25">
      <c r="A48" s="15">
        <v>53</v>
      </c>
      <c r="B48" s="15" t="s">
        <v>57</v>
      </c>
      <c r="C48" s="16" t="s">
        <v>147</v>
      </c>
      <c r="D48" s="17">
        <v>390</v>
      </c>
      <c r="E48" s="15">
        <v>60.26</v>
      </c>
      <c r="F48" s="15">
        <v>365.1</v>
      </c>
      <c r="G48" s="15">
        <v>0.46050000000000002</v>
      </c>
      <c r="H48" s="18">
        <v>0.71002299999999996</v>
      </c>
      <c r="I48" s="15">
        <v>1.1E-5</v>
      </c>
      <c r="J48" s="15">
        <v>3.2069999999999999</v>
      </c>
      <c r="K48" s="15">
        <v>15.63</v>
      </c>
      <c r="L48" s="18">
        <v>0.12509999999999999</v>
      </c>
      <c r="M48" s="18">
        <v>0.51246400000000003</v>
      </c>
      <c r="N48" s="21">
        <v>6.9999999999999999E-6</v>
      </c>
      <c r="O48" s="18">
        <v>0.51214499999999996</v>
      </c>
      <c r="P48" s="18">
        <v>0.70746600000000004</v>
      </c>
      <c r="Q48" s="19">
        <v>0.17</v>
      </c>
      <c r="R48" s="6">
        <f t="shared" si="8"/>
        <v>1181.9916916910504</v>
      </c>
      <c r="S48" s="6">
        <f t="shared" si="9"/>
        <v>1235.8843155605789</v>
      </c>
      <c r="T48" s="5">
        <f t="shared" si="10"/>
        <v>-0.364006100660905</v>
      </c>
      <c r="U48" s="15" t="s">
        <v>176</v>
      </c>
    </row>
    <row r="49" spans="1:21" x14ac:dyDescent="0.25">
      <c r="A49" s="15">
        <v>54</v>
      </c>
      <c r="B49" s="15" t="s">
        <v>58</v>
      </c>
      <c r="C49" s="16" t="s">
        <v>147</v>
      </c>
      <c r="D49" s="17">
        <v>390</v>
      </c>
      <c r="E49" s="15">
        <v>57.48</v>
      </c>
      <c r="F49" s="15">
        <v>374.2</v>
      </c>
      <c r="G49" s="15">
        <v>0.4597</v>
      </c>
      <c r="H49" s="18">
        <v>0.71009800000000001</v>
      </c>
      <c r="I49" s="15">
        <v>7.9999999999999996E-6</v>
      </c>
      <c r="J49" s="15">
        <v>3.1520000000000001</v>
      </c>
      <c r="K49" s="15">
        <v>15.32</v>
      </c>
      <c r="L49" s="18">
        <v>0.12470000000000001</v>
      </c>
      <c r="M49" s="18">
        <v>0.512459</v>
      </c>
      <c r="N49" s="21">
        <v>9.0000000000000002E-6</v>
      </c>
      <c r="O49" s="18">
        <v>0.51214099999999996</v>
      </c>
      <c r="P49" s="18">
        <v>0.70754499999999998</v>
      </c>
      <c r="Q49" s="19">
        <v>0.1</v>
      </c>
      <c r="R49" s="6">
        <f t="shared" si="8"/>
        <v>1185.2311264688751</v>
      </c>
      <c r="S49" s="6">
        <f t="shared" si="9"/>
        <v>1242.1930537721898</v>
      </c>
      <c r="T49" s="5">
        <f t="shared" si="10"/>
        <v>-0.36603965429588203</v>
      </c>
      <c r="U49" s="15" t="s">
        <v>176</v>
      </c>
    </row>
    <row r="50" spans="1:21" x14ac:dyDescent="0.25">
      <c r="A50" s="15">
        <v>55</v>
      </c>
      <c r="B50" s="15" t="s">
        <v>59</v>
      </c>
      <c r="C50" s="16" t="s">
        <v>147</v>
      </c>
      <c r="D50" s="17">
        <v>390</v>
      </c>
      <c r="E50" s="15">
        <v>168.2</v>
      </c>
      <c r="F50" s="15">
        <v>491.4</v>
      </c>
      <c r="G50" s="15">
        <v>1.0309999999999999</v>
      </c>
      <c r="H50" s="18">
        <v>0.71330000000000005</v>
      </c>
      <c r="I50" s="15">
        <v>6.0000000000000002E-6</v>
      </c>
      <c r="J50" s="15">
        <v>3.2570000000000001</v>
      </c>
      <c r="K50" s="15">
        <v>15.98</v>
      </c>
      <c r="L50" s="18">
        <v>0.12559999999999999</v>
      </c>
      <c r="M50" s="18">
        <v>0.51245600000000002</v>
      </c>
      <c r="N50" s="21">
        <v>9.0000000000000002E-6</v>
      </c>
      <c r="O50" s="18">
        <v>0.51213500000000001</v>
      </c>
      <c r="P50" s="18">
        <v>0.70757400000000004</v>
      </c>
      <c r="Q50" s="19">
        <v>-0.01</v>
      </c>
      <c r="R50" s="6">
        <f t="shared" si="8"/>
        <v>1202.4970239298834</v>
      </c>
      <c r="S50" s="6">
        <f t="shared" si="9"/>
        <v>1249.8736904795685</v>
      </c>
      <c r="T50" s="5">
        <f t="shared" si="10"/>
        <v>-0.36146415861718362</v>
      </c>
      <c r="U50" s="15" t="s">
        <v>176</v>
      </c>
    </row>
    <row r="51" spans="1:21" x14ac:dyDescent="0.25">
      <c r="A51" s="15">
        <v>56</v>
      </c>
      <c r="B51" s="15" t="s">
        <v>60</v>
      </c>
      <c r="C51" s="16" t="s">
        <v>147</v>
      </c>
      <c r="D51" s="17">
        <v>390</v>
      </c>
      <c r="E51" s="15">
        <v>137.1</v>
      </c>
      <c r="F51" s="15">
        <v>453.6</v>
      </c>
      <c r="G51" s="15">
        <v>0.88749999999999996</v>
      </c>
      <c r="H51" s="18">
        <v>0.71218400000000004</v>
      </c>
      <c r="I51" s="15">
        <v>7.9999999999999996E-6</v>
      </c>
      <c r="J51" s="15">
        <v>3.8039999999999998</v>
      </c>
      <c r="K51" s="15">
        <v>17.95</v>
      </c>
      <c r="L51" s="18">
        <v>0.1268</v>
      </c>
      <c r="M51" s="18">
        <v>0.51244299999999998</v>
      </c>
      <c r="N51" s="21">
        <v>7.9999999999999996E-6</v>
      </c>
      <c r="O51" s="18">
        <v>0.51211899999999999</v>
      </c>
      <c r="P51" s="18">
        <v>0.70725499999999997</v>
      </c>
      <c r="Q51" s="19">
        <v>-0.32</v>
      </c>
      <c r="R51" s="6">
        <f t="shared" si="8"/>
        <v>1241.8176148346854</v>
      </c>
      <c r="S51" s="6">
        <f t="shared" si="9"/>
        <v>1273.9276105325353</v>
      </c>
      <c r="T51" s="5">
        <f t="shared" si="10"/>
        <v>-0.35536349771225217</v>
      </c>
      <c r="U51" s="15" t="s">
        <v>176</v>
      </c>
    </row>
    <row r="52" spans="1:21" x14ac:dyDescent="0.25">
      <c r="A52" s="15">
        <v>57</v>
      </c>
      <c r="B52" s="15" t="s">
        <v>61</v>
      </c>
      <c r="C52" s="16" t="s">
        <v>147</v>
      </c>
      <c r="D52" s="17">
        <v>390</v>
      </c>
      <c r="E52" s="15">
        <v>169.4</v>
      </c>
      <c r="F52" s="15">
        <v>435.8</v>
      </c>
      <c r="G52" s="15">
        <v>1.0980000000000001</v>
      </c>
      <c r="H52" s="18">
        <v>0.71331500000000003</v>
      </c>
      <c r="I52" s="15">
        <v>9.0000000000000002E-6</v>
      </c>
      <c r="J52" s="15">
        <v>3.698</v>
      </c>
      <c r="K52" s="15">
        <v>18.16</v>
      </c>
      <c r="L52" s="18">
        <v>0.12709999999999999</v>
      </c>
      <c r="M52" s="18">
        <v>0.51246800000000003</v>
      </c>
      <c r="N52" s="21">
        <v>6.0000000000000002E-6</v>
      </c>
      <c r="O52" s="18">
        <v>0.51214300000000001</v>
      </c>
      <c r="P52" s="18">
        <v>0.70721699999999998</v>
      </c>
      <c r="Q52" s="19">
        <v>0.15</v>
      </c>
      <c r="R52" s="6">
        <f t="shared" si="8"/>
        <v>1202.2213576301756</v>
      </c>
      <c r="S52" s="6">
        <f t="shared" si="9"/>
        <v>1236.5784358384301</v>
      </c>
      <c r="T52" s="5">
        <f t="shared" si="10"/>
        <v>-0.35383833248601937</v>
      </c>
      <c r="U52" s="15" t="s">
        <v>176</v>
      </c>
    </row>
    <row r="53" spans="1:21" x14ac:dyDescent="0.25">
      <c r="A53" s="15">
        <v>58</v>
      </c>
      <c r="B53" s="15" t="s">
        <v>62</v>
      </c>
      <c r="C53" s="16" t="s">
        <v>43</v>
      </c>
      <c r="D53" s="17">
        <v>301.89999999999998</v>
      </c>
      <c r="E53" s="15">
        <v>104</v>
      </c>
      <c r="F53" s="15">
        <v>447</v>
      </c>
      <c r="G53" s="15">
        <v>0.67215000000000003</v>
      </c>
      <c r="H53" s="18">
        <v>0.70845100000000005</v>
      </c>
      <c r="I53" s="15"/>
      <c r="J53" s="15">
        <v>3.26</v>
      </c>
      <c r="K53" s="15">
        <v>20</v>
      </c>
      <c r="L53" s="18">
        <v>9.8619999999999999E-2</v>
      </c>
      <c r="M53" s="18">
        <v>0.51258899999999996</v>
      </c>
      <c r="N53" s="21"/>
      <c r="O53" s="18">
        <v>0.51239500000000004</v>
      </c>
      <c r="P53" s="18">
        <v>0.70557199999999998</v>
      </c>
      <c r="Q53" s="19">
        <v>2.82</v>
      </c>
      <c r="R53" s="15">
        <v>745</v>
      </c>
      <c r="S53" s="15">
        <v>835</v>
      </c>
      <c r="T53" s="15">
        <v>-0.5</v>
      </c>
      <c r="U53" s="15" t="s">
        <v>135</v>
      </c>
    </row>
    <row r="54" spans="1:21" x14ac:dyDescent="0.25">
      <c r="A54" s="15">
        <v>59</v>
      </c>
      <c r="B54" s="15" t="s">
        <v>63</v>
      </c>
      <c r="C54" s="16" t="s">
        <v>43</v>
      </c>
      <c r="D54" s="17">
        <v>301.89999999999998</v>
      </c>
      <c r="E54" s="15">
        <v>110</v>
      </c>
      <c r="F54" s="15">
        <v>146</v>
      </c>
      <c r="G54" s="15">
        <v>2.1869100000000001</v>
      </c>
      <c r="H54" s="18">
        <v>0.71482500000000004</v>
      </c>
      <c r="I54" s="15"/>
      <c r="J54" s="15">
        <v>2.52</v>
      </c>
      <c r="K54" s="15">
        <v>14.08</v>
      </c>
      <c r="L54" s="18">
        <v>0.10843999999999999</v>
      </c>
      <c r="M54" s="18">
        <v>0.51263800000000004</v>
      </c>
      <c r="N54" s="21"/>
      <c r="O54" s="18">
        <v>0.51242399999999999</v>
      </c>
      <c r="P54" s="18">
        <v>0.70545800000000003</v>
      </c>
      <c r="Q54" s="19">
        <v>3.4</v>
      </c>
      <c r="R54" s="15">
        <v>743</v>
      </c>
      <c r="S54" s="15">
        <v>788</v>
      </c>
      <c r="T54" s="15">
        <v>-0.45</v>
      </c>
      <c r="U54" s="15" t="s">
        <v>135</v>
      </c>
    </row>
    <row r="55" spans="1:21" x14ac:dyDescent="0.25">
      <c r="A55" s="15">
        <v>60</v>
      </c>
      <c r="B55" s="15" t="s">
        <v>64</v>
      </c>
      <c r="C55" s="16" t="s">
        <v>43</v>
      </c>
      <c r="D55" s="17">
        <v>301.89999999999998</v>
      </c>
      <c r="E55" s="15">
        <v>115</v>
      </c>
      <c r="F55" s="15">
        <v>206</v>
      </c>
      <c r="G55" s="15">
        <v>1.6166</v>
      </c>
      <c r="H55" s="18">
        <v>0.71200200000000002</v>
      </c>
      <c r="I55" s="15"/>
      <c r="J55" s="15">
        <v>2.31</v>
      </c>
      <c r="K55" s="15">
        <v>13.27</v>
      </c>
      <c r="L55" s="18">
        <v>0.10552</v>
      </c>
      <c r="M55" s="18">
        <v>0.51263199999999998</v>
      </c>
      <c r="N55" s="15"/>
      <c r="O55" s="18">
        <v>0.51242399999999999</v>
      </c>
      <c r="P55" s="18">
        <v>0.70507799999999998</v>
      </c>
      <c r="Q55" s="19">
        <v>3.39</v>
      </c>
      <c r="R55" s="15">
        <v>732</v>
      </c>
      <c r="S55" s="15">
        <v>788</v>
      </c>
      <c r="T55" s="15">
        <v>-0.46</v>
      </c>
      <c r="U55" s="15" t="s">
        <v>135</v>
      </c>
    </row>
    <row r="56" spans="1:21" x14ac:dyDescent="0.25">
      <c r="A56" s="15">
        <v>61</v>
      </c>
      <c r="B56" s="15" t="s">
        <v>65</v>
      </c>
      <c r="C56" s="16" t="s">
        <v>43</v>
      </c>
      <c r="D56" s="17">
        <v>301.89999999999998</v>
      </c>
      <c r="E56" s="15">
        <v>100</v>
      </c>
      <c r="F56" s="15">
        <v>487</v>
      </c>
      <c r="G56" s="15">
        <v>0.59597999999999995</v>
      </c>
      <c r="H56" s="18">
        <v>0.70775699999999997</v>
      </c>
      <c r="I56" s="15"/>
      <c r="J56" s="15">
        <v>2.63</v>
      </c>
      <c r="K56" s="15">
        <v>14.49</v>
      </c>
      <c r="L56" s="18">
        <v>0.10977000000000001</v>
      </c>
      <c r="M56" s="18">
        <v>0.51261800000000002</v>
      </c>
      <c r="N56" s="15"/>
      <c r="O56" s="18">
        <v>0.51240200000000002</v>
      </c>
      <c r="P56" s="18">
        <v>0.70520400000000005</v>
      </c>
      <c r="Q56" s="19">
        <v>2.95</v>
      </c>
      <c r="R56" s="15">
        <v>782</v>
      </c>
      <c r="S56" s="15">
        <v>824</v>
      </c>
      <c r="T56" s="15">
        <v>-0.44</v>
      </c>
      <c r="U56" s="15" t="s">
        <v>134</v>
      </c>
    </row>
    <row r="57" spans="1:21" x14ac:dyDescent="0.25">
      <c r="A57" s="15">
        <v>62</v>
      </c>
      <c r="B57" s="15" t="s">
        <v>66</v>
      </c>
      <c r="C57" s="16" t="s">
        <v>43</v>
      </c>
      <c r="D57" s="17">
        <v>301.89999999999998</v>
      </c>
      <c r="E57" s="15">
        <v>91</v>
      </c>
      <c r="F57" s="15">
        <v>577</v>
      </c>
      <c r="G57" s="15">
        <v>0.45717999999999998</v>
      </c>
      <c r="H57" s="18">
        <v>0.70727799999999996</v>
      </c>
      <c r="I57" s="15"/>
      <c r="J57" s="15">
        <v>2.63</v>
      </c>
      <c r="K57" s="15">
        <v>14.18</v>
      </c>
      <c r="L57" s="18">
        <v>0.11214</v>
      </c>
      <c r="M57" s="18">
        <v>0.51265400000000005</v>
      </c>
      <c r="N57" s="15"/>
      <c r="O57" s="18">
        <v>0.51243300000000003</v>
      </c>
      <c r="P57" s="18">
        <v>0.70531999999999995</v>
      </c>
      <c r="Q57" s="19">
        <v>3.56</v>
      </c>
      <c r="R57" s="15">
        <v>746</v>
      </c>
      <c r="S57" s="15">
        <v>774</v>
      </c>
      <c r="T57" s="15">
        <v>-0.43</v>
      </c>
      <c r="U57" s="15" t="s">
        <v>134</v>
      </c>
    </row>
    <row r="58" spans="1:21" x14ac:dyDescent="0.25">
      <c r="A58" s="15">
        <v>63</v>
      </c>
      <c r="B58" s="15" t="s">
        <v>67</v>
      </c>
      <c r="C58" s="2" t="s">
        <v>148</v>
      </c>
      <c r="D58" s="6">
        <v>375</v>
      </c>
      <c r="E58" s="15">
        <v>62.35</v>
      </c>
      <c r="F58" s="15">
        <v>260.10000000000002</v>
      </c>
      <c r="G58" s="15">
        <v>0.69389100000000004</v>
      </c>
      <c r="H58" s="18">
        <v>0.71410499999999999</v>
      </c>
      <c r="I58" s="7">
        <v>1.5E-5</v>
      </c>
      <c r="J58" s="15">
        <v>4.6100000000000003</v>
      </c>
      <c r="K58" s="15">
        <v>21.15</v>
      </c>
      <c r="L58" s="18">
        <v>0.13190399999999999</v>
      </c>
      <c r="M58" s="18">
        <v>0.51223300000000005</v>
      </c>
      <c r="N58" s="7">
        <v>1.1E-5</v>
      </c>
      <c r="O58" s="7">
        <f>M58-L58*(EXP(0.654*0.00375)-1)</f>
        <v>0.51190910843030679</v>
      </c>
      <c r="P58" s="7">
        <f>H58-G58*(EXP(0.0142*0.375)-1)</f>
        <v>0.71040017508303999</v>
      </c>
      <c r="Q58" s="5">
        <f>(O58/(0.512638-0.1967*(EXP(0.654*0.00375)-1))-1)*10000</f>
        <v>-4.8011399662795107</v>
      </c>
      <c r="R58" s="6">
        <f>(1/0.654*100000000000)*LN(1+(0.51315-M58)/(0.2135-L58))/1000000</f>
        <v>1708.8097131096163</v>
      </c>
      <c r="S58" s="6">
        <f>1/0.654*100000*LN((M58-0.51325-(L58-0.118)*(EXP(0.654*0.003)-1))/(0.118-0.2168)+1)</f>
        <v>1607.7113484379292</v>
      </c>
      <c r="T58" s="5">
        <f>L58/0.1967-1</f>
        <v>-0.3294153533299442</v>
      </c>
      <c r="U58" s="15" t="s">
        <v>136</v>
      </c>
    </row>
    <row r="59" spans="1:21" x14ac:dyDescent="0.25">
      <c r="A59" s="15">
        <v>64</v>
      </c>
      <c r="B59" s="15" t="s">
        <v>68</v>
      </c>
      <c r="C59" s="2" t="s">
        <v>148</v>
      </c>
      <c r="D59" s="6">
        <v>375</v>
      </c>
      <c r="E59" s="15">
        <v>60.81</v>
      </c>
      <c r="F59" s="15">
        <v>302.60000000000002</v>
      </c>
      <c r="G59" s="15">
        <v>0.581704</v>
      </c>
      <c r="H59" s="18">
        <v>0.71292800000000001</v>
      </c>
      <c r="I59" s="7">
        <v>1.4E-5</v>
      </c>
      <c r="J59" s="15">
        <v>4.53</v>
      </c>
      <c r="K59" s="15">
        <v>20.78</v>
      </c>
      <c r="L59" s="18">
        <v>0.13178999999999999</v>
      </c>
      <c r="M59" s="18">
        <v>0.51225100000000001</v>
      </c>
      <c r="N59" s="7">
        <v>1.0000000000000001E-5</v>
      </c>
      <c r="O59" s="7">
        <f>M59-L59*(EXP(0.654*0.00375)-1)</f>
        <v>0.51192738835842833</v>
      </c>
      <c r="P59" s="7">
        <f>H59-G59*(EXP(0.0142*0.375)-1)</f>
        <v>0.70982216425130851</v>
      </c>
      <c r="Q59" s="5">
        <f>(O59/(0.512638-0.1967*(EXP(0.654*0.00375)-1))-1)*10000</f>
        <v>-4.4442181734982711</v>
      </c>
      <c r="R59" s="6">
        <f>(1/0.654*100000000000)*LN(1+(0.51315-M59)/(0.2135-L59))/1000000</f>
        <v>1673.1253872332452</v>
      </c>
      <c r="S59" s="6">
        <f>1/0.654*100000*LN((M59-0.51325-(L59-0.118)*(EXP(0.654*0.003)-1))/(0.118-0.2168)+1)</f>
        <v>1579.8000775449941</v>
      </c>
      <c r="T59" s="5">
        <f>L59/0.1967-1</f>
        <v>-0.3299949161159127</v>
      </c>
      <c r="U59" s="15" t="s">
        <v>136</v>
      </c>
    </row>
    <row r="60" spans="1:21" x14ac:dyDescent="0.25">
      <c r="A60" s="15">
        <v>65</v>
      </c>
      <c r="B60" s="15" t="s">
        <v>69</v>
      </c>
      <c r="C60" s="2" t="s">
        <v>148</v>
      </c>
      <c r="D60" s="6">
        <v>390</v>
      </c>
      <c r="E60" s="15">
        <v>60.29</v>
      </c>
      <c r="F60" s="15">
        <v>318</v>
      </c>
      <c r="G60" s="15">
        <v>0.54885799999999996</v>
      </c>
      <c r="H60" s="18">
        <v>0.71278399999999997</v>
      </c>
      <c r="I60" s="7">
        <v>7.7999999999999999E-5</v>
      </c>
      <c r="J60" s="15">
        <v>4.55</v>
      </c>
      <c r="K60" s="15">
        <v>20.73</v>
      </c>
      <c r="L60" s="18">
        <v>0.132798</v>
      </c>
      <c r="M60" s="18">
        <v>0.51224400000000003</v>
      </c>
      <c r="N60" s="7">
        <v>1.2E-5</v>
      </c>
      <c r="O60" s="7">
        <f>M60-L60*(EXP(0.654*0.0039)-1)</f>
        <v>0.51190485309100875</v>
      </c>
      <c r="P60" s="7">
        <f>H60-G60*(EXP(0.0142*0.39)-1)</f>
        <v>0.70973599225260209</v>
      </c>
      <c r="Q60" s="5">
        <f>(O60/(0.512638-0.1967*(EXP(0.654*0.0039)-1))-1)*10000</f>
        <v>-4.5066872385390866</v>
      </c>
      <c r="R60" s="6">
        <f>(1/0.654*100000000000)*LN(1+(0.51315-M60)/(0.2135-L60))/1000000</f>
        <v>1707.0241993809768</v>
      </c>
      <c r="S60" s="6">
        <f>1/0.654*100000*LN((M60-0.51325-(L60-0.118)*(EXP(0.654*0.003)-1))/(0.118-0.2168)+1)</f>
        <v>1593.5537124129255</v>
      </c>
      <c r="T60" s="5">
        <f>L60/0.1967-1</f>
        <v>-0.32487036095577027</v>
      </c>
      <c r="U60" s="15" t="s">
        <v>136</v>
      </c>
    </row>
    <row r="61" spans="1:21" x14ac:dyDescent="0.25">
      <c r="A61" s="15">
        <v>66</v>
      </c>
      <c r="B61" s="15" t="s">
        <v>70</v>
      </c>
      <c r="C61" s="2" t="s">
        <v>148</v>
      </c>
      <c r="D61" s="6">
        <v>390</v>
      </c>
      <c r="E61" s="15">
        <v>65.400000000000006</v>
      </c>
      <c r="F61" s="15">
        <v>326</v>
      </c>
      <c r="G61" s="15">
        <v>0.58066399999999996</v>
      </c>
      <c r="H61" s="18">
        <v>0.71258100000000002</v>
      </c>
      <c r="I61" s="7">
        <v>1.5E-5</v>
      </c>
      <c r="J61" s="15">
        <v>4.6900000000000004</v>
      </c>
      <c r="K61" s="15">
        <v>20.98</v>
      </c>
      <c r="L61" s="18">
        <v>0.135132</v>
      </c>
      <c r="M61" s="18">
        <v>0.51223700000000005</v>
      </c>
      <c r="N61" s="7">
        <v>1.2E-5</v>
      </c>
      <c r="O61" s="7">
        <f>M61-L61*(EXP(0.654*0.0039)-1)</f>
        <v>0.51189189239216093</v>
      </c>
      <c r="P61" s="7">
        <f>H61-G61*(EXP(0.0142*0.39)-1)</f>
        <v>0.70935636198682528</v>
      </c>
      <c r="Q61" s="5">
        <f>(O61/(0.512638-0.1967*(EXP(0.654*0.0039)-1))-1)*10000</f>
        <v>-4.7597588354963971</v>
      </c>
      <c r="R61" s="6">
        <f>(1/0.654*100000000000)*LN(1+(0.51315-M61)/(0.2135-L61))/1000000</f>
        <v>1771.0738064403663</v>
      </c>
      <c r="S61" s="6">
        <f>1/0.654*100000*LN((M61-0.51325-(L61-0.118)*(EXP(0.654*0.003)-1))/(0.118-0.2168)+1)</f>
        <v>1611.2941830391237</v>
      </c>
      <c r="T61" s="5">
        <f>L61/0.1967-1</f>
        <v>-0.31300457549567873</v>
      </c>
      <c r="U61" s="15" t="s">
        <v>136</v>
      </c>
    </row>
    <row r="62" spans="1:21" x14ac:dyDescent="0.25">
      <c r="A62" s="15">
        <v>67</v>
      </c>
      <c r="B62" s="26" t="s">
        <v>187</v>
      </c>
      <c r="C62" s="16" t="s">
        <v>43</v>
      </c>
      <c r="D62" s="17">
        <v>394.8</v>
      </c>
      <c r="E62" s="15">
        <v>121.3</v>
      </c>
      <c r="F62" s="15">
        <v>615</v>
      </c>
      <c r="G62" s="15">
        <v>0.57120000000000004</v>
      </c>
      <c r="H62" s="18">
        <v>0.71115399999999995</v>
      </c>
      <c r="I62" s="15"/>
      <c r="J62" s="15">
        <v>2.4300000000000002</v>
      </c>
      <c r="K62" s="15">
        <v>11.59</v>
      </c>
      <c r="L62" s="18">
        <v>0.127</v>
      </c>
      <c r="M62" s="18">
        <v>0.51232900000000003</v>
      </c>
      <c r="N62" s="15"/>
      <c r="O62" s="18">
        <v>0.51200100000000004</v>
      </c>
      <c r="P62" s="18">
        <v>0.70794100000000004</v>
      </c>
      <c r="Q62" s="19">
        <v>-2.5099999999999998</v>
      </c>
      <c r="R62" s="6">
        <f t="shared" ref="R62:R67" si="11">(1/0.654*100000000000)*LN(1+(0.51315-M62)/(0.2135-L62))/1000000</f>
        <v>1444.4296343165227</v>
      </c>
      <c r="S62" s="6">
        <f>1/0.654*100000*LN((M62-0.51325-(L62-0.118)*(EXP(0.654*0.00394)-1))/(0.118-0.2168)+1)</f>
        <v>1454.3596234183324</v>
      </c>
      <c r="T62" s="5">
        <f t="shared" ref="T62:T67" si="12">L62/0.1967-1</f>
        <v>-0.3543467208947636</v>
      </c>
      <c r="U62" s="15" t="s">
        <v>137</v>
      </c>
    </row>
    <row r="63" spans="1:21" x14ac:dyDescent="0.25">
      <c r="A63" s="15">
        <v>68</v>
      </c>
      <c r="B63" s="26" t="s">
        <v>188</v>
      </c>
      <c r="C63" s="16" t="s">
        <v>43</v>
      </c>
      <c r="D63" s="17">
        <v>394.8</v>
      </c>
      <c r="E63" s="15">
        <v>99.1</v>
      </c>
      <c r="F63" s="15">
        <v>605</v>
      </c>
      <c r="G63" s="15">
        <v>0.47439999999999999</v>
      </c>
      <c r="H63" s="18">
        <v>0.71931</v>
      </c>
      <c r="I63" s="15"/>
      <c r="J63" s="15">
        <v>2.94</v>
      </c>
      <c r="K63" s="15">
        <v>14.25</v>
      </c>
      <c r="L63" s="18">
        <v>0.12470000000000001</v>
      </c>
      <c r="M63" s="18">
        <v>0.51233399999999996</v>
      </c>
      <c r="N63" s="15"/>
      <c r="O63" s="18">
        <v>0.51201099999999999</v>
      </c>
      <c r="P63" s="18">
        <v>0.70826299999999998</v>
      </c>
      <c r="Q63" s="19">
        <v>-2.31</v>
      </c>
      <c r="R63" s="6">
        <f t="shared" si="11"/>
        <v>1398.658328647165</v>
      </c>
      <c r="S63" s="6">
        <f>1/0.654*100000*LN((M63-0.51325-(L63-0.118)*(EXP(0.654*0.00394)-1))/(0.118-0.2168)+1)</f>
        <v>1437.5968860891574</v>
      </c>
      <c r="T63" s="5">
        <f t="shared" si="12"/>
        <v>-0.36603965429588203</v>
      </c>
      <c r="U63" s="15" t="s">
        <v>137</v>
      </c>
    </row>
    <row r="64" spans="1:21" x14ac:dyDescent="0.25">
      <c r="A64" s="15">
        <v>69</v>
      </c>
      <c r="B64" s="26" t="s">
        <v>189</v>
      </c>
      <c r="C64" s="16" t="s">
        <v>145</v>
      </c>
      <c r="D64" s="17">
        <v>380.9</v>
      </c>
      <c r="E64" s="15">
        <v>97.6</v>
      </c>
      <c r="F64" s="15">
        <v>396</v>
      </c>
      <c r="G64" s="15">
        <v>0.71389999999999998</v>
      </c>
      <c r="H64" s="18">
        <v>0.71115700000000004</v>
      </c>
      <c r="I64" s="15"/>
      <c r="J64" s="15">
        <v>2.82</v>
      </c>
      <c r="K64" s="15">
        <v>14.61</v>
      </c>
      <c r="L64" s="18">
        <v>0.1166</v>
      </c>
      <c r="M64" s="18">
        <v>0.51221899999999998</v>
      </c>
      <c r="N64" s="15"/>
      <c r="O64" s="18">
        <v>0.51192899999999997</v>
      </c>
      <c r="P64" s="18">
        <v>0.70729500000000001</v>
      </c>
      <c r="Q64" s="19">
        <v>-4.29</v>
      </c>
      <c r="R64" s="6">
        <f t="shared" si="11"/>
        <v>1462.0766565327774</v>
      </c>
      <c r="S64" s="6">
        <f>1/0.654*100000*LN((M64-0.51325-(L64-0.118)*(EXP(0.654*0.0038)-1))/(0.118-0.2168)+1)</f>
        <v>1581.9963184179619</v>
      </c>
      <c r="T64" s="5">
        <f t="shared" si="12"/>
        <v>-0.40721911540416889</v>
      </c>
      <c r="U64" s="15" t="s">
        <v>137</v>
      </c>
    </row>
    <row r="65" spans="1:21" x14ac:dyDescent="0.25">
      <c r="A65" s="15">
        <v>70</v>
      </c>
      <c r="B65" s="26" t="s">
        <v>190</v>
      </c>
      <c r="C65" s="16" t="s">
        <v>145</v>
      </c>
      <c r="D65" s="17">
        <v>380.9</v>
      </c>
      <c r="E65" s="15">
        <v>116.6</v>
      </c>
      <c r="F65" s="15">
        <v>533</v>
      </c>
      <c r="G65" s="15">
        <v>0.63349999999999995</v>
      </c>
      <c r="H65" s="18">
        <v>0.70948</v>
      </c>
      <c r="I65" s="15"/>
      <c r="J65" s="15">
        <v>4.0199999999999996</v>
      </c>
      <c r="K65" s="15">
        <v>21.54</v>
      </c>
      <c r="L65" s="18">
        <v>0.1128</v>
      </c>
      <c r="M65" s="18">
        <v>0.51246800000000003</v>
      </c>
      <c r="N65" s="15"/>
      <c r="O65" s="18">
        <v>0.51218699999999995</v>
      </c>
      <c r="P65" s="18">
        <v>0.70652000000000004</v>
      </c>
      <c r="Q65" s="19">
        <v>0.75</v>
      </c>
      <c r="R65" s="6">
        <f t="shared" si="11"/>
        <v>1032.073529365538</v>
      </c>
      <c r="S65" s="6">
        <f t="shared" ref="S65:S67" si="13">1/0.654*100000*LN((M65-0.51325-(L65-0.118)*(EXP(0.654*0.0038)-1))/(0.118-0.2168)+1)</f>
        <v>1185.6082462848497</v>
      </c>
      <c r="T65" s="5">
        <f t="shared" si="12"/>
        <v>-0.42653787493645146</v>
      </c>
      <c r="U65" s="15" t="s">
        <v>137</v>
      </c>
    </row>
    <row r="66" spans="1:21" x14ac:dyDescent="0.25">
      <c r="A66" s="15">
        <v>71</v>
      </c>
      <c r="B66" s="26" t="s">
        <v>191</v>
      </c>
      <c r="C66" s="16" t="s">
        <v>145</v>
      </c>
      <c r="D66" s="17">
        <v>380.9</v>
      </c>
      <c r="E66" s="15">
        <v>103.5</v>
      </c>
      <c r="F66" s="15">
        <v>808</v>
      </c>
      <c r="G66" s="15">
        <v>0.371</v>
      </c>
      <c r="H66" s="18">
        <v>0.70851799999999998</v>
      </c>
      <c r="I66" s="15"/>
      <c r="J66" s="15">
        <v>3.95</v>
      </c>
      <c r="K66" s="15">
        <v>20.67</v>
      </c>
      <c r="L66" s="18">
        <v>0.11550000000000001</v>
      </c>
      <c r="M66" s="18">
        <v>0.51245200000000002</v>
      </c>
      <c r="N66" s="15"/>
      <c r="O66" s="18">
        <v>0.51216399999999995</v>
      </c>
      <c r="P66" s="18">
        <v>0.70650999999999997</v>
      </c>
      <c r="Q66" s="19">
        <v>0.31</v>
      </c>
      <c r="R66" s="6">
        <f t="shared" si="11"/>
        <v>1085.1994096389938</v>
      </c>
      <c r="S66" s="6">
        <f t="shared" si="13"/>
        <v>1220.4922039651517</v>
      </c>
      <c r="T66" s="5">
        <f t="shared" si="12"/>
        <v>-0.41281138790035588</v>
      </c>
      <c r="U66" s="15" t="s">
        <v>137</v>
      </c>
    </row>
    <row r="67" spans="1:21" x14ac:dyDescent="0.25">
      <c r="A67" s="15">
        <v>72</v>
      </c>
      <c r="B67" s="26" t="s">
        <v>192</v>
      </c>
      <c r="C67" s="16" t="s">
        <v>145</v>
      </c>
      <c r="D67" s="17">
        <v>380.9</v>
      </c>
      <c r="E67" s="15">
        <v>83.9</v>
      </c>
      <c r="F67" s="15">
        <v>584</v>
      </c>
      <c r="G67" s="15">
        <v>0.41570000000000001</v>
      </c>
      <c r="H67" s="18">
        <v>0.71453</v>
      </c>
      <c r="I67" s="15"/>
      <c r="J67" s="15">
        <v>3.83</v>
      </c>
      <c r="K67" s="15">
        <v>20.6</v>
      </c>
      <c r="L67" s="18">
        <v>0.1125</v>
      </c>
      <c r="M67" s="18">
        <v>0.51226400000000005</v>
      </c>
      <c r="N67" s="15"/>
      <c r="O67" s="18">
        <v>0.51198399999999999</v>
      </c>
      <c r="P67" s="18">
        <v>0.70820399999999994</v>
      </c>
      <c r="Q67" s="19">
        <v>-3.21</v>
      </c>
      <c r="R67" s="6">
        <f t="shared" si="11"/>
        <v>1335.4777295044291</v>
      </c>
      <c r="S67" s="6">
        <f t="shared" si="13"/>
        <v>1497.4203776255347</v>
      </c>
      <c r="T67" s="5">
        <f t="shared" si="12"/>
        <v>-0.42806304016268437</v>
      </c>
      <c r="U67" s="15" t="s">
        <v>137</v>
      </c>
    </row>
    <row r="68" spans="1:21" x14ac:dyDescent="0.25">
      <c r="A68" s="15">
        <v>73</v>
      </c>
      <c r="B68" s="15" t="s">
        <v>71</v>
      </c>
      <c r="C68" s="2" t="s">
        <v>148</v>
      </c>
      <c r="D68" s="6">
        <v>370.5</v>
      </c>
      <c r="E68" s="15">
        <v>55.64</v>
      </c>
      <c r="F68" s="15">
        <v>681.9</v>
      </c>
      <c r="G68" s="15">
        <v>0.23599500000000001</v>
      </c>
      <c r="H68" s="18">
        <v>0.70442800000000005</v>
      </c>
      <c r="I68" s="7">
        <v>1.1E-5</v>
      </c>
      <c r="J68" s="15">
        <v>0.38</v>
      </c>
      <c r="K68" s="15">
        <v>1.61</v>
      </c>
      <c r="L68" s="18">
        <v>0.14147199999999999</v>
      </c>
      <c r="M68" s="18">
        <v>0.51271100000000003</v>
      </c>
      <c r="N68" s="7">
        <v>1.2E-5</v>
      </c>
      <c r="O68" s="7">
        <f>M68-L68*(EXP(0.654*0.003705)-1)</f>
        <v>0.5123677877952858</v>
      </c>
      <c r="P68" s="7">
        <f>H68-G68*(EXP(0.0142*0.3705)-1)</f>
        <v>0.70318313489700512</v>
      </c>
      <c r="Q68" s="5">
        <f>(O68/(0.512638-0.1967*(EXP(0.654*0.003705)-1))-1)*10000</f>
        <v>4.0413785764692456</v>
      </c>
      <c r="R68" s="6">
        <f>(1/0.654*100000000000)*LN(1+(0.51315-M68)/(0.2135-L68))/1000000</f>
        <v>929.10604238045198</v>
      </c>
      <c r="S68" s="6">
        <f>1/0.654*100000*LN((M68-0.51325-(L68-0.118)*(EXP(0.654*0.003)-1))/(0.118-0.2168)+1)</f>
        <v>902.83957397151539</v>
      </c>
      <c r="T68" s="5">
        <f>L68/0.1967-1</f>
        <v>-0.28077275038129146</v>
      </c>
      <c r="U68" s="15" t="s">
        <v>138</v>
      </c>
    </row>
    <row r="69" spans="1:21" x14ac:dyDescent="0.25">
      <c r="A69" s="15">
        <v>74</v>
      </c>
      <c r="B69" s="15" t="s">
        <v>72</v>
      </c>
      <c r="C69" s="2" t="s">
        <v>148</v>
      </c>
      <c r="D69" s="6">
        <v>370.5</v>
      </c>
      <c r="E69" s="15">
        <v>11.54</v>
      </c>
      <c r="F69" s="15">
        <v>301.3</v>
      </c>
      <c r="G69" s="15">
        <v>0.110753</v>
      </c>
      <c r="H69" s="18">
        <v>0.70439399999999996</v>
      </c>
      <c r="I69" s="7">
        <v>1.1E-5</v>
      </c>
      <c r="J69" s="15">
        <v>0.36</v>
      </c>
      <c r="K69" s="15">
        <v>1.54</v>
      </c>
      <c r="L69" s="18">
        <v>0.140239</v>
      </c>
      <c r="M69" s="18">
        <v>0.51271</v>
      </c>
      <c r="N69" s="7">
        <v>1.2E-5</v>
      </c>
      <c r="O69" s="7">
        <f>M69-L69*(EXP(0.654*0.003705)-1)</f>
        <v>0.51236977906315795</v>
      </c>
      <c r="P69" s="7">
        <f>H69-G69*(EXP(0.0142*0.3705)-1)</f>
        <v>0.70380978192439669</v>
      </c>
      <c r="Q69" s="5">
        <f>(O69/(0.512638-0.1967*(EXP(0.654*0.003705)-1))-1)*10000</f>
        <v>4.0802583161081429</v>
      </c>
      <c r="R69" s="6">
        <f>(1/0.654*100000000000)*LN(1+(0.51315-M69)/(0.2135-L69))/1000000</f>
        <v>915.59026806004715</v>
      </c>
      <c r="S69" s="6">
        <f>1/0.654*100000*LN((M69-0.51325-(L69-0.118)*(EXP(0.654*0.003)-1))/(0.118-0.2168)+1)</f>
        <v>900.6525311352143</v>
      </c>
      <c r="T69" s="5">
        <f>L69/0.1967-1</f>
        <v>-0.2870411794611083</v>
      </c>
      <c r="U69" s="15" t="s">
        <v>138</v>
      </c>
    </row>
    <row r="70" spans="1:21" x14ac:dyDescent="0.25">
      <c r="A70" s="15">
        <v>75</v>
      </c>
      <c r="B70" s="15" t="s">
        <v>73</v>
      </c>
      <c r="C70" s="2" t="s">
        <v>148</v>
      </c>
      <c r="D70" s="6">
        <v>370.5</v>
      </c>
      <c r="E70" s="15">
        <v>13.8</v>
      </c>
      <c r="F70" s="15">
        <v>299.3</v>
      </c>
      <c r="G70" s="15">
        <v>0.13340199999999999</v>
      </c>
      <c r="H70" s="18">
        <v>0.70431600000000005</v>
      </c>
      <c r="I70" s="7">
        <v>1.2E-5</v>
      </c>
      <c r="J70" s="15">
        <v>0.38</v>
      </c>
      <c r="K70" s="15">
        <v>1.59</v>
      </c>
      <c r="L70" s="18">
        <v>0.14278099999999999</v>
      </c>
      <c r="M70" s="18">
        <v>0.51273999999999997</v>
      </c>
      <c r="N70" s="7">
        <v>1.7E-5</v>
      </c>
      <c r="O70" s="7">
        <f>M70-L70*(EXP(0.654*0.003705)-1)</f>
        <v>0.51239361215080503</v>
      </c>
      <c r="P70" s="7">
        <f>H70-G70*(EXP(0.0142*0.3705)-1)</f>
        <v>0.70361230926727381</v>
      </c>
      <c r="Q70" s="5">
        <f>(O70/(0.512638-0.1967*(EXP(0.654*0.003705)-1))-1)*10000</f>
        <v>4.5456021583234474</v>
      </c>
      <c r="R70" s="6">
        <f>(1/0.654*100000000000)*LN(1+(0.51315-M70)/(0.2135-L70))/1000000</f>
        <v>883.92231239115677</v>
      </c>
      <c r="S70" s="6">
        <f>1/0.654*100000*LN((M70-0.51325-(L70-0.118)*(EXP(0.654*0.003)-1))/(0.118-0.2168)+1)</f>
        <v>862.17248395181048</v>
      </c>
      <c r="T70" s="5">
        <f>L70/0.1967-1</f>
        <v>-0.27411794611082874</v>
      </c>
      <c r="U70" s="15" t="s">
        <v>138</v>
      </c>
    </row>
    <row r="71" spans="1:21" x14ac:dyDescent="0.25">
      <c r="A71" s="15">
        <v>76</v>
      </c>
      <c r="B71" s="15" t="s">
        <v>74</v>
      </c>
      <c r="C71" s="2" t="s">
        <v>148</v>
      </c>
      <c r="D71" s="17">
        <v>347</v>
      </c>
      <c r="E71" s="15">
        <v>231</v>
      </c>
      <c r="F71" s="15">
        <v>235</v>
      </c>
      <c r="G71" s="15">
        <v>2.7690000000000001</v>
      </c>
      <c r="H71" s="18">
        <v>0.71766399999999997</v>
      </c>
      <c r="I71" s="15">
        <v>1.7E-5</v>
      </c>
      <c r="J71" s="15">
        <v>11.5</v>
      </c>
      <c r="K71" s="15">
        <v>2.1800000000000002</v>
      </c>
      <c r="L71" s="18">
        <v>0.11600000000000001</v>
      </c>
      <c r="M71" s="18">
        <v>0.51247699999999996</v>
      </c>
      <c r="N71" s="15">
        <v>9.0000000000000002E-6</v>
      </c>
      <c r="O71" s="18">
        <v>0.512212</v>
      </c>
      <c r="P71" s="18">
        <v>0.70389999999999997</v>
      </c>
      <c r="Q71" s="5">
        <f t="shared" ref="Q71:Q76" si="14">(O71/(0.512638-0.1967*(EXP(0.654*0.00347)-1))-1)*10000</f>
        <v>0.40793250883686127</v>
      </c>
      <c r="R71" s="6">
        <f t="shared" ref="R71:R89" si="15">(1/0.654*100000000000)*LN(1+(0.51315-M71)/(0.2135-L71))/1000000</f>
        <v>1051.8119981172513</v>
      </c>
      <c r="S71" s="6">
        <f t="shared" ref="S71:S76" si="16">1/0.654*100000*LN((M71-0.51325-(L71-0.118)*(EXP(0.654*0.003)-1))/(0.118-0.2168)+1)</f>
        <v>1185.6255371850057</v>
      </c>
      <c r="T71" s="5">
        <f t="shared" ref="T71:T89" si="17">L71/0.1967-1</f>
        <v>-0.4102694458566345</v>
      </c>
      <c r="U71" s="15" t="s">
        <v>139</v>
      </c>
    </row>
    <row r="72" spans="1:21" x14ac:dyDescent="0.25">
      <c r="A72" s="15">
        <v>77</v>
      </c>
      <c r="B72" s="15" t="s">
        <v>75</v>
      </c>
      <c r="C72" s="2" t="s">
        <v>148</v>
      </c>
      <c r="D72" s="17">
        <v>347</v>
      </c>
      <c r="E72" s="15">
        <v>86.1</v>
      </c>
      <c r="F72" s="15">
        <v>354</v>
      </c>
      <c r="G72" s="15">
        <v>0.68600000000000005</v>
      </c>
      <c r="H72" s="18">
        <v>0.70859700000000003</v>
      </c>
      <c r="I72" s="15">
        <v>1.4E-5</v>
      </c>
      <c r="J72" s="15">
        <v>12.8</v>
      </c>
      <c r="K72" s="15">
        <v>2.71</v>
      </c>
      <c r="L72" s="18">
        <v>0.129</v>
      </c>
      <c r="M72" s="18">
        <v>0.51257600000000003</v>
      </c>
      <c r="N72" s="15">
        <v>1.1E-5</v>
      </c>
      <c r="O72" s="18">
        <v>0.51228099999999999</v>
      </c>
      <c r="P72" s="18">
        <v>0.70520000000000005</v>
      </c>
      <c r="Q72" s="5">
        <f t="shared" si="14"/>
        <v>1.7550859284032327</v>
      </c>
      <c r="R72" s="6">
        <f t="shared" si="15"/>
        <v>1035.1577401142561</v>
      </c>
      <c r="S72" s="6">
        <f t="shared" si="16"/>
        <v>1072.7598389714258</v>
      </c>
      <c r="T72" s="5">
        <f t="shared" si="17"/>
        <v>-0.34417895271987797</v>
      </c>
      <c r="U72" s="15" t="s">
        <v>139</v>
      </c>
    </row>
    <row r="73" spans="1:21" x14ac:dyDescent="0.25">
      <c r="A73" s="15">
        <v>78</v>
      </c>
      <c r="B73" s="15" t="s">
        <v>76</v>
      </c>
      <c r="C73" s="2" t="s">
        <v>148</v>
      </c>
      <c r="D73" s="17">
        <v>347</v>
      </c>
      <c r="E73" s="15">
        <v>53.6</v>
      </c>
      <c r="F73" s="15">
        <v>686</v>
      </c>
      <c r="G73" s="15">
        <v>0.22</v>
      </c>
      <c r="H73" s="18">
        <v>0.70555199999999996</v>
      </c>
      <c r="I73" s="15">
        <v>1.7E-5</v>
      </c>
      <c r="J73" s="15">
        <v>12.6</v>
      </c>
      <c r="K73" s="15">
        <v>2.74</v>
      </c>
      <c r="L73" s="18">
        <v>0.13300000000000001</v>
      </c>
      <c r="M73" s="18">
        <v>0.51269900000000002</v>
      </c>
      <c r="N73" s="15">
        <v>9.0000000000000002E-6</v>
      </c>
      <c r="O73" s="18">
        <v>0.51239500000000004</v>
      </c>
      <c r="P73" s="18">
        <v>0.70450000000000002</v>
      </c>
      <c r="Q73" s="5">
        <f t="shared" si="14"/>
        <v>3.9808176650812932</v>
      </c>
      <c r="R73" s="6">
        <f t="shared" si="15"/>
        <v>854.25824576968728</v>
      </c>
      <c r="S73" s="6">
        <f t="shared" si="16"/>
        <v>895.70320115588822</v>
      </c>
      <c r="T73" s="5">
        <f t="shared" si="17"/>
        <v>-0.32384341637010672</v>
      </c>
      <c r="U73" s="15" t="s">
        <v>139</v>
      </c>
    </row>
    <row r="74" spans="1:21" x14ac:dyDescent="0.25">
      <c r="A74" s="15">
        <v>79</v>
      </c>
      <c r="B74" s="15" t="s">
        <v>77</v>
      </c>
      <c r="C74" s="16" t="s">
        <v>145</v>
      </c>
      <c r="D74" s="17">
        <v>349</v>
      </c>
      <c r="E74" s="15">
        <v>180</v>
      </c>
      <c r="F74" s="15">
        <v>94</v>
      </c>
      <c r="G74" s="15">
        <v>5.4080000000000004</v>
      </c>
      <c r="H74" s="18">
        <v>0.72908799999999996</v>
      </c>
      <c r="I74" s="15">
        <v>1.7E-5</v>
      </c>
      <c r="J74" s="15">
        <v>19.899999999999999</v>
      </c>
      <c r="K74" s="15">
        <v>3.55</v>
      </c>
      <c r="L74" s="18">
        <v>0.109</v>
      </c>
      <c r="M74" s="18">
        <v>0.51258800000000004</v>
      </c>
      <c r="N74" s="15">
        <v>9.0000000000000002E-6</v>
      </c>
      <c r="O74" s="18">
        <v>0.51233899999999999</v>
      </c>
      <c r="P74" s="18">
        <v>0.70209999999999995</v>
      </c>
      <c r="Q74" s="5">
        <f t="shared" si="14"/>
        <v>2.8874757593433387</v>
      </c>
      <c r="R74" s="6">
        <f t="shared" si="15"/>
        <v>820.11937013192176</v>
      </c>
      <c r="S74" s="6">
        <f t="shared" si="16"/>
        <v>993.93451220105771</v>
      </c>
      <c r="T74" s="5">
        <f t="shared" si="17"/>
        <v>-0.44585663446873414</v>
      </c>
      <c r="U74" s="15" t="s">
        <v>139</v>
      </c>
    </row>
    <row r="75" spans="1:21" x14ac:dyDescent="0.25">
      <c r="A75" s="15">
        <v>80</v>
      </c>
      <c r="B75" s="15" t="s">
        <v>78</v>
      </c>
      <c r="C75" s="16" t="s">
        <v>145</v>
      </c>
      <c r="D75" s="17">
        <v>349</v>
      </c>
      <c r="E75" s="15">
        <v>226</v>
      </c>
      <c r="F75" s="15">
        <v>106</v>
      </c>
      <c r="G75" s="15">
        <v>6.0289999999999999</v>
      </c>
      <c r="H75" s="18">
        <v>0.731549</v>
      </c>
      <c r="I75" s="15">
        <v>1.9000000000000001E-5</v>
      </c>
      <c r="J75" s="15">
        <v>19.2</v>
      </c>
      <c r="K75" s="15">
        <v>3.63</v>
      </c>
      <c r="L75" s="18">
        <v>0.115</v>
      </c>
      <c r="M75" s="18">
        <v>0.51243700000000003</v>
      </c>
      <c r="N75" s="15">
        <v>6.9999999999999999E-6</v>
      </c>
      <c r="O75" s="18">
        <v>0.51217400000000002</v>
      </c>
      <c r="P75" s="18">
        <v>0.70150000000000001</v>
      </c>
      <c r="Q75" s="5">
        <f t="shared" si="14"/>
        <v>-0.33397807005397517</v>
      </c>
      <c r="R75" s="6">
        <f t="shared" si="15"/>
        <v>1102.8296504266982</v>
      </c>
      <c r="S75" s="6">
        <f t="shared" si="16"/>
        <v>1244.0252265292368</v>
      </c>
      <c r="T75" s="5">
        <f t="shared" si="17"/>
        <v>-0.41535332994407725</v>
      </c>
      <c r="U75" s="15" t="s">
        <v>139</v>
      </c>
    </row>
    <row r="76" spans="1:21" x14ac:dyDescent="0.25">
      <c r="A76" s="15">
        <v>81</v>
      </c>
      <c r="B76" s="15" t="s">
        <v>79</v>
      </c>
      <c r="C76" s="16" t="s">
        <v>145</v>
      </c>
      <c r="D76" s="17">
        <v>349</v>
      </c>
      <c r="E76" s="15">
        <v>159</v>
      </c>
      <c r="F76" s="15">
        <v>132</v>
      </c>
      <c r="G76" s="15">
        <v>3.4049999999999998</v>
      </c>
      <c r="H76" s="18">
        <v>0.719939</v>
      </c>
      <c r="I76" s="15">
        <v>1.5999999999999999E-5</v>
      </c>
      <c r="J76" s="15">
        <v>17.3</v>
      </c>
      <c r="K76" s="15">
        <v>2.74</v>
      </c>
      <c r="L76" s="18">
        <v>9.6000000000000002E-2</v>
      </c>
      <c r="M76" s="18">
        <v>0.51244699999999999</v>
      </c>
      <c r="N76" s="15">
        <v>9.0000000000000002E-6</v>
      </c>
      <c r="O76" s="18">
        <v>0.51222599999999996</v>
      </c>
      <c r="P76" s="18">
        <v>0.70299999999999996</v>
      </c>
      <c r="Q76" s="5">
        <f t="shared" si="14"/>
        <v>0.68126798526968457</v>
      </c>
      <c r="R76" s="6">
        <f t="shared" si="15"/>
        <v>912.10271809774952</v>
      </c>
      <c r="S76" s="6">
        <f t="shared" si="16"/>
        <v>1171.3761325742928</v>
      </c>
      <c r="T76" s="5">
        <f t="shared" si="17"/>
        <v>-0.51194712760549055</v>
      </c>
      <c r="U76" s="15" t="s">
        <v>139</v>
      </c>
    </row>
    <row r="77" spans="1:21" x14ac:dyDescent="0.25">
      <c r="A77" s="15">
        <v>82</v>
      </c>
      <c r="B77" s="15" t="s">
        <v>80</v>
      </c>
      <c r="C77" s="15" t="s">
        <v>81</v>
      </c>
      <c r="D77" s="17">
        <v>375</v>
      </c>
      <c r="E77" s="15">
        <v>50.2</v>
      </c>
      <c r="F77" s="15">
        <v>167.4</v>
      </c>
      <c r="G77" s="15">
        <v>0.86899999999999999</v>
      </c>
      <c r="H77" s="18">
        <v>0.71176399999999995</v>
      </c>
      <c r="I77" s="15"/>
      <c r="J77" s="15">
        <v>6.85</v>
      </c>
      <c r="K77" s="15">
        <v>31.54</v>
      </c>
      <c r="L77" s="18">
        <v>0.13100000000000001</v>
      </c>
      <c r="M77" s="18">
        <v>0.51241499999999995</v>
      </c>
      <c r="N77" s="15"/>
      <c r="O77" s="18">
        <v>0.51209000000000005</v>
      </c>
      <c r="P77" s="18">
        <v>0.70711999999999997</v>
      </c>
      <c r="Q77" s="19">
        <v>1.22</v>
      </c>
      <c r="R77" s="6">
        <f t="shared" si="15"/>
        <v>1356.2139304800403</v>
      </c>
      <c r="S77" s="6">
        <f t="shared" ref="S77:S89" si="18">1/0.654*100000*LN((M77-0.51325-(L77-0.118)*(EXP(0.654*0.00375)-1))/(0.118-0.2168)+1)</f>
        <v>1335.8162239922228</v>
      </c>
      <c r="T77" s="5">
        <f t="shared" si="17"/>
        <v>-0.33401118454499235</v>
      </c>
      <c r="U77" s="15" t="s">
        <v>141</v>
      </c>
    </row>
    <row r="78" spans="1:21" x14ac:dyDescent="0.25">
      <c r="A78" s="15">
        <v>83</v>
      </c>
      <c r="B78" s="15" t="s">
        <v>82</v>
      </c>
      <c r="C78" s="15" t="s">
        <v>83</v>
      </c>
      <c r="D78" s="17">
        <v>375</v>
      </c>
      <c r="E78" s="15">
        <v>138.4</v>
      </c>
      <c r="F78" s="15">
        <v>177.9</v>
      </c>
      <c r="G78" s="15">
        <v>2.2549999999999999</v>
      </c>
      <c r="H78" s="18">
        <v>0.71773699999999996</v>
      </c>
      <c r="I78" s="15"/>
      <c r="J78" s="15">
        <v>7.16</v>
      </c>
      <c r="K78" s="15">
        <v>38.159999999999997</v>
      </c>
      <c r="L78" s="18">
        <v>0.113</v>
      </c>
      <c r="M78" s="18">
        <v>0.51240300000000005</v>
      </c>
      <c r="N78" s="15"/>
      <c r="O78" s="18">
        <v>0.51212000000000002</v>
      </c>
      <c r="P78" s="18">
        <v>0.70569999999999999</v>
      </c>
      <c r="Q78" s="19">
        <v>-0.6</v>
      </c>
      <c r="R78" s="6">
        <f t="shared" si="15"/>
        <v>1132.316272006396</v>
      </c>
      <c r="S78" s="6">
        <f t="shared" si="18"/>
        <v>1286.4094904096457</v>
      </c>
      <c r="T78" s="5">
        <f t="shared" si="17"/>
        <v>-0.42552109811896288</v>
      </c>
      <c r="U78" s="15" t="s">
        <v>141</v>
      </c>
    </row>
    <row r="79" spans="1:21" x14ac:dyDescent="0.25">
      <c r="A79" s="15">
        <v>84</v>
      </c>
      <c r="B79" s="15" t="s">
        <v>84</v>
      </c>
      <c r="C79" s="15" t="s">
        <v>83</v>
      </c>
      <c r="D79" s="17">
        <v>375</v>
      </c>
      <c r="E79" s="15">
        <v>97.1</v>
      </c>
      <c r="F79" s="15">
        <v>94.8</v>
      </c>
      <c r="G79" s="15">
        <v>2.9689999999999999</v>
      </c>
      <c r="H79" s="18">
        <v>0.72137799999999996</v>
      </c>
      <c r="I79" s="15"/>
      <c r="J79" s="15">
        <v>4.7699999999999996</v>
      </c>
      <c r="K79" s="15">
        <v>22.95</v>
      </c>
      <c r="L79" s="18">
        <v>0.126</v>
      </c>
      <c r="M79" s="18">
        <v>0.51244900000000004</v>
      </c>
      <c r="N79" s="15"/>
      <c r="O79" s="18">
        <v>0.51214000000000004</v>
      </c>
      <c r="P79" s="18">
        <v>0.70552000000000004</v>
      </c>
      <c r="Q79" s="19">
        <v>-0.28999999999999998</v>
      </c>
      <c r="R79" s="6">
        <f t="shared" si="15"/>
        <v>1220.1081733003061</v>
      </c>
      <c r="S79" s="6">
        <f t="shared" si="18"/>
        <v>1264.8024810119277</v>
      </c>
      <c r="T79" s="5">
        <f t="shared" si="17"/>
        <v>-0.35943060498220647</v>
      </c>
      <c r="U79" s="15" t="s">
        <v>140</v>
      </c>
    </row>
    <row r="80" spans="1:21" x14ac:dyDescent="0.25">
      <c r="A80" s="15">
        <v>85</v>
      </c>
      <c r="B80" s="15" t="s">
        <v>85</v>
      </c>
      <c r="C80" s="15" t="s">
        <v>86</v>
      </c>
      <c r="D80" s="17">
        <v>375</v>
      </c>
      <c r="E80" s="15">
        <v>15.3</v>
      </c>
      <c r="F80" s="15">
        <v>234</v>
      </c>
      <c r="G80" s="15">
        <v>0.19</v>
      </c>
      <c r="H80" s="18">
        <v>0.70758100000000002</v>
      </c>
      <c r="I80" s="15"/>
      <c r="J80" s="15">
        <v>5.28</v>
      </c>
      <c r="K80" s="15">
        <v>25.4</v>
      </c>
      <c r="L80" s="18">
        <v>0.126</v>
      </c>
      <c r="M80" s="18">
        <v>0.51245099999999999</v>
      </c>
      <c r="N80" s="15"/>
      <c r="O80" s="18">
        <v>0.51214000000000004</v>
      </c>
      <c r="P80" s="18">
        <v>0.70657000000000003</v>
      </c>
      <c r="Q80" s="19">
        <v>-0.24</v>
      </c>
      <c r="R80" s="6">
        <f t="shared" si="15"/>
        <v>1216.6409352327307</v>
      </c>
      <c r="S80" s="6">
        <f t="shared" si="18"/>
        <v>1261.7327009461303</v>
      </c>
      <c r="T80" s="5">
        <f t="shared" si="17"/>
        <v>-0.35943060498220647</v>
      </c>
      <c r="U80" s="15" t="s">
        <v>140</v>
      </c>
    </row>
    <row r="81" spans="1:21" x14ac:dyDescent="0.25">
      <c r="A81" s="15">
        <v>86</v>
      </c>
      <c r="B81" s="15" t="s">
        <v>87</v>
      </c>
      <c r="C81" s="15" t="s">
        <v>88</v>
      </c>
      <c r="D81" s="17">
        <v>367</v>
      </c>
      <c r="E81" s="15">
        <v>57.6</v>
      </c>
      <c r="F81" s="15">
        <v>422</v>
      </c>
      <c r="G81" s="15">
        <v>0.39600000000000002</v>
      </c>
      <c r="H81" s="18">
        <v>0.707785</v>
      </c>
      <c r="I81" s="15"/>
      <c r="J81" s="15">
        <v>6.65</v>
      </c>
      <c r="K81" s="15">
        <v>31.93</v>
      </c>
      <c r="L81" s="18">
        <v>0.126</v>
      </c>
      <c r="M81" s="18">
        <v>0.51249500000000003</v>
      </c>
      <c r="N81" s="15"/>
      <c r="O81" s="18">
        <v>0.51219000000000003</v>
      </c>
      <c r="P81" s="18">
        <v>0.70572000000000001</v>
      </c>
      <c r="Q81" s="19">
        <v>0.53</v>
      </c>
      <c r="R81" s="6">
        <f t="shared" si="15"/>
        <v>1140.3417995648786</v>
      </c>
      <c r="S81" s="6">
        <f t="shared" si="18"/>
        <v>1194.1819424056039</v>
      </c>
      <c r="T81" s="5">
        <f t="shared" si="17"/>
        <v>-0.35943060498220647</v>
      </c>
      <c r="U81" s="15" t="s">
        <v>140</v>
      </c>
    </row>
    <row r="82" spans="1:21" x14ac:dyDescent="0.25">
      <c r="A82" s="15">
        <v>87</v>
      </c>
      <c r="B82" s="15" t="s">
        <v>89</v>
      </c>
      <c r="C82" s="15" t="s">
        <v>88</v>
      </c>
      <c r="D82" s="17">
        <v>367</v>
      </c>
      <c r="E82" s="15">
        <v>94.7</v>
      </c>
      <c r="F82" s="15">
        <v>74.099999999999994</v>
      </c>
      <c r="G82" s="15">
        <v>3.7050000000000001</v>
      </c>
      <c r="H82" s="18">
        <v>0.72376399999999996</v>
      </c>
      <c r="I82" s="15"/>
      <c r="J82" s="15">
        <v>6.01</v>
      </c>
      <c r="K82" s="15">
        <v>35.450000000000003</v>
      </c>
      <c r="L82" s="18">
        <v>0.10199999999999999</v>
      </c>
      <c r="M82" s="18">
        <v>0.51254500000000003</v>
      </c>
      <c r="N82" s="15"/>
      <c r="O82" s="18">
        <v>0.51229999999999998</v>
      </c>
      <c r="P82" s="18">
        <v>0.70440999999999998</v>
      </c>
      <c r="Q82" s="19">
        <v>2.6</v>
      </c>
      <c r="R82" s="6">
        <f t="shared" si="15"/>
        <v>827.42220432125725</v>
      </c>
      <c r="S82" s="6">
        <f t="shared" si="18"/>
        <v>1026.8158140403746</v>
      </c>
      <c r="T82" s="5">
        <f t="shared" si="17"/>
        <v>-0.48144382308083378</v>
      </c>
      <c r="U82" s="15" t="s">
        <v>140</v>
      </c>
    </row>
    <row r="83" spans="1:21" x14ac:dyDescent="0.25">
      <c r="A83" s="15">
        <v>88</v>
      </c>
      <c r="B83" s="15" t="s">
        <v>90</v>
      </c>
      <c r="C83" s="15" t="s">
        <v>91</v>
      </c>
      <c r="D83" s="17">
        <v>367</v>
      </c>
      <c r="E83" s="15">
        <v>130.6</v>
      </c>
      <c r="F83" s="15">
        <v>59.1</v>
      </c>
      <c r="G83" s="15">
        <v>6.4059999999999997</v>
      </c>
      <c r="H83" s="18">
        <v>0.73870800000000003</v>
      </c>
      <c r="I83" s="15"/>
      <c r="J83" s="15">
        <v>4.46</v>
      </c>
      <c r="K83" s="15">
        <v>28.14</v>
      </c>
      <c r="L83" s="18">
        <v>9.6000000000000002E-2</v>
      </c>
      <c r="M83" s="18">
        <v>0.51242799999999999</v>
      </c>
      <c r="N83" s="15"/>
      <c r="O83" s="18">
        <v>0.51219999999999999</v>
      </c>
      <c r="P83" s="18">
        <v>0.70523999999999998</v>
      </c>
      <c r="Q83" s="19">
        <v>0.64</v>
      </c>
      <c r="R83" s="6">
        <f t="shared" si="15"/>
        <v>936.67878901253391</v>
      </c>
      <c r="S83" s="6">
        <f t="shared" si="18"/>
        <v>1183.9464813599395</v>
      </c>
      <c r="T83" s="5">
        <f t="shared" si="17"/>
        <v>-0.51194712760549055</v>
      </c>
      <c r="U83" s="15" t="s">
        <v>140</v>
      </c>
    </row>
    <row r="84" spans="1:21" x14ac:dyDescent="0.25">
      <c r="A84" s="15">
        <v>89</v>
      </c>
      <c r="B84" s="15" t="s">
        <v>92</v>
      </c>
      <c r="C84" s="15" t="s">
        <v>81</v>
      </c>
      <c r="D84" s="17">
        <v>367</v>
      </c>
      <c r="E84" s="15">
        <v>95.8</v>
      </c>
      <c r="F84" s="15">
        <v>65.2</v>
      </c>
      <c r="G84" s="15">
        <v>4.26</v>
      </c>
      <c r="H84" s="18">
        <v>0.72759600000000002</v>
      </c>
      <c r="I84" s="15"/>
      <c r="J84" s="15">
        <v>4.8600000000000003</v>
      </c>
      <c r="K84" s="15">
        <v>29.87</v>
      </c>
      <c r="L84" s="18">
        <v>9.8000000000000004E-2</v>
      </c>
      <c r="M84" s="18">
        <v>0.51245499999999999</v>
      </c>
      <c r="N84" s="15"/>
      <c r="O84" s="18">
        <v>0.51222000000000001</v>
      </c>
      <c r="P84" s="18">
        <v>0.70533999999999997</v>
      </c>
      <c r="Q84" s="19">
        <v>1.04</v>
      </c>
      <c r="R84" s="6">
        <f t="shared" si="15"/>
        <v>917.32175386555775</v>
      </c>
      <c r="S84" s="6">
        <f t="shared" si="18"/>
        <v>1150.0209696415036</v>
      </c>
      <c r="T84" s="5">
        <f t="shared" si="17"/>
        <v>-0.50177935943060503</v>
      </c>
      <c r="U84" s="15" t="s">
        <v>140</v>
      </c>
    </row>
    <row r="85" spans="1:21" x14ac:dyDescent="0.25">
      <c r="A85" s="15">
        <v>90</v>
      </c>
      <c r="B85" s="15" t="s">
        <v>93</v>
      </c>
      <c r="C85" s="15" t="s">
        <v>81</v>
      </c>
      <c r="D85" s="17">
        <v>367</v>
      </c>
      <c r="E85" s="15">
        <v>102</v>
      </c>
      <c r="F85" s="15">
        <v>88.5</v>
      </c>
      <c r="G85" s="15">
        <v>3.3410000000000002</v>
      </c>
      <c r="H85" s="18">
        <v>0.72222600000000003</v>
      </c>
      <c r="I85" s="15"/>
      <c r="J85" s="15">
        <v>7.13</v>
      </c>
      <c r="K85" s="15">
        <v>37.97</v>
      </c>
      <c r="L85" s="18">
        <v>0.114</v>
      </c>
      <c r="M85" s="18">
        <v>0.51247699999999996</v>
      </c>
      <c r="N85" s="15"/>
      <c r="O85" s="18">
        <v>0.51219999999999999</v>
      </c>
      <c r="P85" s="18">
        <v>0.70477000000000001</v>
      </c>
      <c r="Q85" s="19">
        <v>0.76</v>
      </c>
      <c r="R85" s="6">
        <f t="shared" si="15"/>
        <v>1030.7411463630021</v>
      </c>
      <c r="S85" s="6">
        <f t="shared" si="18"/>
        <v>1176.5737447782017</v>
      </c>
      <c r="T85" s="5">
        <f t="shared" si="17"/>
        <v>-0.42043721403152012</v>
      </c>
      <c r="U85" s="15" t="s">
        <v>140</v>
      </c>
    </row>
    <row r="86" spans="1:21" x14ac:dyDescent="0.25">
      <c r="A86" s="15">
        <v>91</v>
      </c>
      <c r="B86" s="15" t="s">
        <v>94</v>
      </c>
      <c r="C86" s="15" t="s">
        <v>95</v>
      </c>
      <c r="D86" s="17">
        <v>354</v>
      </c>
      <c r="E86" s="15">
        <v>49.3</v>
      </c>
      <c r="F86" s="15">
        <v>83.4</v>
      </c>
      <c r="G86" s="15">
        <v>1.714</v>
      </c>
      <c r="H86" s="18">
        <v>0.71304000000000001</v>
      </c>
      <c r="I86" s="15"/>
      <c r="J86" s="15">
        <v>5.82</v>
      </c>
      <c r="K86" s="15">
        <v>26.53</v>
      </c>
      <c r="L86" s="18">
        <v>0.13300000000000001</v>
      </c>
      <c r="M86" s="18">
        <v>0.51247500000000001</v>
      </c>
      <c r="N86" s="15"/>
      <c r="O86" s="18">
        <v>0.51217000000000001</v>
      </c>
      <c r="P86" s="18">
        <v>0.70440000000000003</v>
      </c>
      <c r="Q86" s="19">
        <v>-0.28000000000000003</v>
      </c>
      <c r="R86" s="6">
        <f t="shared" si="15"/>
        <v>1276.7788324758017</v>
      </c>
      <c r="S86" s="6">
        <f t="shared" si="18"/>
        <v>1251.2774407987106</v>
      </c>
      <c r="T86" s="5">
        <f t="shared" si="17"/>
        <v>-0.32384341637010672</v>
      </c>
      <c r="U86" s="15" t="s">
        <v>140</v>
      </c>
    </row>
    <row r="87" spans="1:21" x14ac:dyDescent="0.25">
      <c r="A87" s="15">
        <v>92</v>
      </c>
      <c r="B87" s="15" t="s">
        <v>96</v>
      </c>
      <c r="C87" s="15" t="s">
        <v>152</v>
      </c>
      <c r="D87" s="17">
        <v>354</v>
      </c>
      <c r="E87" s="15">
        <v>101.5</v>
      </c>
      <c r="F87" s="15">
        <v>177.1</v>
      </c>
      <c r="G87" s="15">
        <v>1.661</v>
      </c>
      <c r="H87" s="18">
        <v>0.71245899999999995</v>
      </c>
      <c r="I87" s="15"/>
      <c r="J87" s="15">
        <v>6.28</v>
      </c>
      <c r="K87" s="15">
        <v>30.3</v>
      </c>
      <c r="L87" s="18">
        <v>0.125</v>
      </c>
      <c r="M87" s="18">
        <v>0.51260600000000001</v>
      </c>
      <c r="N87" s="15"/>
      <c r="O87" s="18">
        <v>0.51232</v>
      </c>
      <c r="P87" s="18">
        <v>0.70408999999999999</v>
      </c>
      <c r="Q87" s="19">
        <v>2.6</v>
      </c>
      <c r="R87" s="6">
        <f t="shared" si="15"/>
        <v>937.01491960225428</v>
      </c>
      <c r="S87" s="6">
        <f t="shared" si="18"/>
        <v>1019.8621836736229</v>
      </c>
      <c r="T87" s="5">
        <f t="shared" si="17"/>
        <v>-0.36451448906964923</v>
      </c>
      <c r="U87" s="15" t="s">
        <v>140</v>
      </c>
    </row>
    <row r="88" spans="1:21" x14ac:dyDescent="0.25">
      <c r="A88" s="15">
        <v>93</v>
      </c>
      <c r="B88" s="15" t="s">
        <v>97</v>
      </c>
      <c r="C88" s="15" t="s">
        <v>98</v>
      </c>
      <c r="D88" s="17">
        <v>354</v>
      </c>
      <c r="E88" s="15">
        <v>135.80000000000001</v>
      </c>
      <c r="F88" s="15">
        <v>284.10000000000002</v>
      </c>
      <c r="G88" s="15">
        <v>1.3859999999999999</v>
      </c>
      <c r="H88" s="18">
        <v>0.71165999999999996</v>
      </c>
      <c r="I88" s="15"/>
      <c r="J88" s="15">
        <v>4.5599999999999996</v>
      </c>
      <c r="K88" s="15">
        <v>22.64</v>
      </c>
      <c r="L88" s="18">
        <v>0.122</v>
      </c>
      <c r="M88" s="18">
        <v>0.51251599999999997</v>
      </c>
      <c r="N88" s="15"/>
      <c r="O88" s="18">
        <v>0.51222999999999996</v>
      </c>
      <c r="P88" s="18">
        <v>0.70467999999999997</v>
      </c>
      <c r="Q88" s="19">
        <v>1.01</v>
      </c>
      <c r="R88" s="6">
        <f t="shared" si="15"/>
        <v>1055.8206128081474</v>
      </c>
      <c r="S88" s="6">
        <f t="shared" si="18"/>
        <v>1146.844794993458</v>
      </c>
      <c r="T88" s="5">
        <f t="shared" si="17"/>
        <v>-0.37976614133197772</v>
      </c>
      <c r="U88" s="15" t="s">
        <v>140</v>
      </c>
    </row>
    <row r="89" spans="1:21" x14ac:dyDescent="0.25">
      <c r="A89" s="15">
        <v>94</v>
      </c>
      <c r="B89" s="15" t="s">
        <v>99</v>
      </c>
      <c r="C89" s="15" t="s">
        <v>100</v>
      </c>
      <c r="D89" s="17">
        <v>354</v>
      </c>
      <c r="E89" s="15">
        <v>109.6</v>
      </c>
      <c r="F89" s="15">
        <v>288.3</v>
      </c>
      <c r="G89" s="15">
        <v>1.1020000000000001</v>
      </c>
      <c r="H89" s="18">
        <v>0.71068399999999998</v>
      </c>
      <c r="I89" s="15"/>
      <c r="J89" s="15">
        <v>3.68</v>
      </c>
      <c r="K89" s="15">
        <v>18.09</v>
      </c>
      <c r="L89" s="18">
        <v>0.123</v>
      </c>
      <c r="M89" s="18">
        <v>0.51249699999999998</v>
      </c>
      <c r="N89" s="15"/>
      <c r="O89" s="18">
        <v>0.51221000000000005</v>
      </c>
      <c r="P89" s="18">
        <v>0.70513000000000003</v>
      </c>
      <c r="Q89" s="19">
        <v>0.59</v>
      </c>
      <c r="R89" s="6">
        <f t="shared" si="15"/>
        <v>1099.3215073865524</v>
      </c>
      <c r="S89" s="6">
        <f t="shared" si="18"/>
        <v>1179.7981759904615</v>
      </c>
      <c r="T89" s="5">
        <f t="shared" si="17"/>
        <v>-0.37468225724453486</v>
      </c>
      <c r="U89" s="15" t="s">
        <v>140</v>
      </c>
    </row>
    <row r="90" spans="1:21" x14ac:dyDescent="0.25">
      <c r="A90" s="15">
        <v>95</v>
      </c>
      <c r="B90" s="15" t="s">
        <v>101</v>
      </c>
      <c r="C90" s="15" t="s">
        <v>159</v>
      </c>
      <c r="D90" s="17">
        <v>356</v>
      </c>
      <c r="E90" s="15"/>
      <c r="F90" s="15"/>
      <c r="G90" s="15">
        <v>0.82599999999999996</v>
      </c>
      <c r="H90" s="18">
        <v>0.71017799999999998</v>
      </c>
      <c r="I90" s="15"/>
      <c r="J90" s="15"/>
      <c r="K90" s="15">
        <v>0.1135</v>
      </c>
      <c r="L90" s="18">
        <v>0.51224800000000004</v>
      </c>
      <c r="M90" s="18"/>
      <c r="N90" s="15"/>
      <c r="O90" s="18">
        <v>0.51200000000000001</v>
      </c>
      <c r="P90" s="18">
        <v>0.70599000000000001</v>
      </c>
      <c r="Q90" s="5">
        <f>(O90/(0.512638-0.1967*(EXP(0.654*0.00356)-1))-1)*10000</f>
        <v>-3.5046629441326527</v>
      </c>
      <c r="R90" s="6">
        <f t="shared" ref="R90:R97" si="19">(1/0.654*100000000000)*LN(1+(0.51315-L90)/(0.2135-K90))/1000000</f>
        <v>1373.0218318923723</v>
      </c>
      <c r="S90" s="6">
        <f t="shared" ref="S90:S97" si="20">1/0.654*100000*LN((L90-0.51325-(K90-0.118)*(EXP(0.654*0.003)-1))/(0.118-0.2168)+1)</f>
        <v>1529.3673577782456</v>
      </c>
      <c r="T90" s="5">
        <f t="shared" ref="T90:T97" si="21">K90/0.1967-1</f>
        <v>-0.4229791560752415</v>
      </c>
      <c r="U90" s="15" t="s">
        <v>128</v>
      </c>
    </row>
    <row r="91" spans="1:21" x14ac:dyDescent="0.25">
      <c r="A91" s="15">
        <v>96</v>
      </c>
      <c r="B91" s="15" t="s">
        <v>102</v>
      </c>
      <c r="C91" s="15" t="s">
        <v>159</v>
      </c>
      <c r="D91" s="17">
        <v>356</v>
      </c>
      <c r="E91" s="15"/>
      <c r="F91" s="15"/>
      <c r="G91" s="15">
        <v>0.80489999999999995</v>
      </c>
      <c r="H91" s="18">
        <v>0.71006899999999995</v>
      </c>
      <c r="I91" s="15"/>
      <c r="J91" s="15"/>
      <c r="K91" s="15">
        <v>0.11409999999999999</v>
      </c>
      <c r="L91" s="18">
        <v>0.51224000000000003</v>
      </c>
      <c r="M91" s="18"/>
      <c r="N91" s="15"/>
      <c r="O91" s="18">
        <v>0.51200000000000001</v>
      </c>
      <c r="P91" s="18">
        <v>0.70599000000000001</v>
      </c>
      <c r="Q91" s="5">
        <f t="shared" ref="Q91:Q97" si="22">(O91/(0.512638-0.1967*(EXP(0.654*0.00356)-1))-1)*10000</f>
        <v>-3.5046629441326527</v>
      </c>
      <c r="R91" s="6">
        <f t="shared" si="19"/>
        <v>1393.4674667989441</v>
      </c>
      <c r="S91" s="6">
        <f t="shared" si="20"/>
        <v>1543.4299820908914</v>
      </c>
      <c r="T91" s="5">
        <f t="shared" si="21"/>
        <v>-0.41992882562277589</v>
      </c>
      <c r="U91" s="15" t="s">
        <v>128</v>
      </c>
    </row>
    <row r="92" spans="1:21" x14ac:dyDescent="0.25">
      <c r="A92" s="15">
        <v>97</v>
      </c>
      <c r="B92" s="15" t="s">
        <v>103</v>
      </c>
      <c r="C92" s="15" t="s">
        <v>159</v>
      </c>
      <c r="D92" s="17">
        <v>356</v>
      </c>
      <c r="E92" s="15"/>
      <c r="F92" s="15"/>
      <c r="G92" s="15">
        <v>1.1019000000000001</v>
      </c>
      <c r="H92" s="18">
        <v>0.71137700000000004</v>
      </c>
      <c r="I92" s="15"/>
      <c r="J92" s="15"/>
      <c r="K92" s="15">
        <v>0.12520000000000001</v>
      </c>
      <c r="L92" s="18">
        <v>0.51225699999999996</v>
      </c>
      <c r="M92" s="18"/>
      <c r="N92" s="15"/>
      <c r="O92" s="18">
        <v>0.51200000000000001</v>
      </c>
      <c r="P92" s="18">
        <v>0.70579000000000003</v>
      </c>
      <c r="Q92" s="5">
        <f t="shared" si="22"/>
        <v>-3.5046629441326527</v>
      </c>
      <c r="R92" s="6">
        <f t="shared" si="19"/>
        <v>1538.6014618312715</v>
      </c>
      <c r="S92" s="6">
        <f t="shared" si="20"/>
        <v>1550.7831447254694</v>
      </c>
      <c r="T92" s="5">
        <f t="shared" si="21"/>
        <v>-0.36349771225216065</v>
      </c>
      <c r="U92" s="15" t="s">
        <v>127</v>
      </c>
    </row>
    <row r="93" spans="1:21" x14ac:dyDescent="0.25">
      <c r="A93" s="15">
        <v>98</v>
      </c>
      <c r="B93" s="15" t="s">
        <v>104</v>
      </c>
      <c r="C93" s="15" t="s">
        <v>159</v>
      </c>
      <c r="D93" s="17">
        <v>356</v>
      </c>
      <c r="E93" s="15"/>
      <c r="F93" s="15"/>
      <c r="G93" s="15">
        <v>1.6464000000000001</v>
      </c>
      <c r="H93" s="18">
        <v>0.71377400000000002</v>
      </c>
      <c r="I93" s="15"/>
      <c r="J93" s="15"/>
      <c r="K93" s="15">
        <v>0.1182</v>
      </c>
      <c r="L93" s="18">
        <v>0.51227599999999995</v>
      </c>
      <c r="M93" s="18"/>
      <c r="N93" s="15"/>
      <c r="O93" s="18">
        <v>0.51200000000000001</v>
      </c>
      <c r="P93" s="18">
        <v>0.70543</v>
      </c>
      <c r="Q93" s="5">
        <f t="shared" si="22"/>
        <v>-3.5046629441326527</v>
      </c>
      <c r="R93" s="6">
        <f t="shared" si="19"/>
        <v>1395.9082892420458</v>
      </c>
      <c r="S93" s="6">
        <f t="shared" si="20"/>
        <v>1500.6055537121065</v>
      </c>
      <c r="T93" s="5">
        <f t="shared" si="21"/>
        <v>-0.39908490086426029</v>
      </c>
      <c r="U93" s="15" t="s">
        <v>127</v>
      </c>
    </row>
    <row r="94" spans="1:21" x14ac:dyDescent="0.25">
      <c r="A94" s="15">
        <v>99</v>
      </c>
      <c r="B94" s="15" t="s">
        <v>105</v>
      </c>
      <c r="C94" s="15" t="s">
        <v>160</v>
      </c>
      <c r="D94" s="17">
        <v>356</v>
      </c>
      <c r="E94" s="15"/>
      <c r="F94" s="15"/>
      <c r="G94" s="15">
        <v>3.8157999999999999</v>
      </c>
      <c r="H94" s="18">
        <v>0.72296099999999996</v>
      </c>
      <c r="I94" s="15"/>
      <c r="J94" s="15"/>
      <c r="K94" s="15">
        <v>0.13150000000000001</v>
      </c>
      <c r="L94" s="18">
        <v>0.51234100000000005</v>
      </c>
      <c r="M94" s="18"/>
      <c r="N94" s="15"/>
      <c r="O94" s="18">
        <v>0.51200000000000001</v>
      </c>
      <c r="P94" s="18">
        <v>0.70362000000000002</v>
      </c>
      <c r="Q94" s="5">
        <f t="shared" si="22"/>
        <v>-3.5046629441326527</v>
      </c>
      <c r="R94" s="6">
        <f t="shared" si="19"/>
        <v>1501.1473810687673</v>
      </c>
      <c r="S94" s="6">
        <f t="shared" si="20"/>
        <v>1441.0103048325491</v>
      </c>
      <c r="T94" s="5">
        <f t="shared" si="21"/>
        <v>-0.33146924250127097</v>
      </c>
      <c r="U94" s="15" t="s">
        <v>127</v>
      </c>
    </row>
    <row r="95" spans="1:21" x14ac:dyDescent="0.25">
      <c r="A95" s="15">
        <v>100</v>
      </c>
      <c r="B95" s="15" t="s">
        <v>106</v>
      </c>
      <c r="C95" s="15" t="s">
        <v>160</v>
      </c>
      <c r="D95" s="17">
        <v>356</v>
      </c>
      <c r="E95" s="15"/>
      <c r="F95" s="15"/>
      <c r="G95" s="15">
        <v>9.8165999999999993</v>
      </c>
      <c r="H95" s="18">
        <v>0.75203500000000001</v>
      </c>
      <c r="I95" s="15"/>
      <c r="J95" s="15"/>
      <c r="K95" s="15">
        <v>0.128</v>
      </c>
      <c r="L95" s="18">
        <v>0.51220299999999996</v>
      </c>
      <c r="M95" s="18"/>
      <c r="N95" s="15"/>
      <c r="O95" s="18">
        <v>0.51190000000000002</v>
      </c>
      <c r="P95" s="18">
        <v>0.70228000000000002</v>
      </c>
      <c r="Q95" s="5">
        <f t="shared" si="22"/>
        <v>-5.457103439651112</v>
      </c>
      <c r="R95" s="6">
        <f t="shared" si="19"/>
        <v>1684.2711688817826</v>
      </c>
      <c r="S95" s="6">
        <f t="shared" si="20"/>
        <v>1641.9088358798801</v>
      </c>
      <c r="T95" s="5">
        <f t="shared" si="21"/>
        <v>-0.34926283680732084</v>
      </c>
      <c r="U95" s="15" t="s">
        <v>127</v>
      </c>
    </row>
    <row r="96" spans="1:21" x14ac:dyDescent="0.25">
      <c r="A96" s="15">
        <v>101</v>
      </c>
      <c r="B96" s="15" t="s">
        <v>107</v>
      </c>
      <c r="C96" s="15" t="s">
        <v>160</v>
      </c>
      <c r="D96" s="17">
        <v>356</v>
      </c>
      <c r="E96" s="15"/>
      <c r="F96" s="15"/>
      <c r="G96" s="15">
        <v>5.9585999999999997</v>
      </c>
      <c r="H96" s="18">
        <v>0.73455099999999995</v>
      </c>
      <c r="I96" s="15"/>
      <c r="J96" s="15"/>
      <c r="K96" s="15">
        <v>0.1447</v>
      </c>
      <c r="L96" s="18">
        <v>0.51227299999999998</v>
      </c>
      <c r="M96" s="18"/>
      <c r="N96" s="15"/>
      <c r="O96" s="18">
        <v>0.51190000000000002</v>
      </c>
      <c r="P96" s="18">
        <v>0.70435000000000003</v>
      </c>
      <c r="Q96" s="5">
        <f t="shared" si="22"/>
        <v>-5.457103439651112</v>
      </c>
      <c r="R96" s="6">
        <f t="shared" si="19"/>
        <v>1936.7787029261201</v>
      </c>
      <c r="S96" s="6">
        <f t="shared" si="20"/>
        <v>1584.9378020380473</v>
      </c>
      <c r="T96" s="5">
        <f t="shared" si="21"/>
        <v>-0.26436197254702598</v>
      </c>
      <c r="U96" s="15" t="s">
        <v>127</v>
      </c>
    </row>
    <row r="97" spans="1:21" x14ac:dyDescent="0.25">
      <c r="A97" s="15">
        <v>102</v>
      </c>
      <c r="B97" s="15" t="s">
        <v>108</v>
      </c>
      <c r="C97" s="15" t="s">
        <v>160</v>
      </c>
      <c r="D97" s="17">
        <v>356</v>
      </c>
      <c r="E97" s="15"/>
      <c r="F97" s="15"/>
      <c r="G97" s="15">
        <v>6.4279999999999999</v>
      </c>
      <c r="H97" s="18">
        <v>0.73611899999999997</v>
      </c>
      <c r="I97" s="15"/>
      <c r="J97" s="15"/>
      <c r="K97" s="15">
        <v>0.13750000000000001</v>
      </c>
      <c r="L97" s="18">
        <v>0.51232100000000003</v>
      </c>
      <c r="M97" s="18"/>
      <c r="N97" s="15"/>
      <c r="O97" s="18">
        <v>0.51200000000000001</v>
      </c>
      <c r="P97" s="18">
        <v>0.70354000000000005</v>
      </c>
      <c r="Q97" s="5">
        <f t="shared" si="22"/>
        <v>-3.5046629441326527</v>
      </c>
      <c r="R97" s="6">
        <f t="shared" si="19"/>
        <v>1658.8429295795349</v>
      </c>
      <c r="S97" s="6">
        <f t="shared" si="20"/>
        <v>1489.7301297095553</v>
      </c>
      <c r="T97" s="5">
        <f t="shared" si="21"/>
        <v>-0.30096593797661408</v>
      </c>
      <c r="U97" s="15" t="s">
        <v>127</v>
      </c>
    </row>
    <row r="98" spans="1:21" x14ac:dyDescent="0.25">
      <c r="A98" s="15">
        <v>103</v>
      </c>
      <c r="B98" s="15" t="s">
        <v>109</v>
      </c>
      <c r="C98" s="15" t="s">
        <v>149</v>
      </c>
      <c r="D98" s="17">
        <v>374</v>
      </c>
      <c r="E98" s="15">
        <v>112</v>
      </c>
      <c r="F98" s="15">
        <v>278</v>
      </c>
      <c r="G98" s="15">
        <v>1.1636</v>
      </c>
      <c r="H98" s="18">
        <v>0.71456900000000001</v>
      </c>
      <c r="I98" s="15"/>
      <c r="J98" s="15">
        <v>3.47</v>
      </c>
      <c r="K98" s="15">
        <v>19.100000000000001</v>
      </c>
      <c r="L98" s="18">
        <v>0.1099</v>
      </c>
      <c r="M98" s="18">
        <v>0.51231300000000002</v>
      </c>
      <c r="N98" s="15"/>
      <c r="O98" s="18">
        <v>0.51204499999999997</v>
      </c>
      <c r="P98" s="18">
        <v>0.70838900000000005</v>
      </c>
      <c r="Q98" s="19">
        <v>-2.2000000000000002</v>
      </c>
      <c r="R98" s="25">
        <v>1230</v>
      </c>
      <c r="S98" s="25">
        <v>1300</v>
      </c>
      <c r="T98" s="15">
        <v>-0.44</v>
      </c>
      <c r="U98" s="15" t="s">
        <v>142</v>
      </c>
    </row>
    <row r="99" spans="1:21" x14ac:dyDescent="0.25">
      <c r="A99" s="15">
        <v>104</v>
      </c>
      <c r="B99" s="15" t="s">
        <v>110</v>
      </c>
      <c r="C99" s="15" t="s">
        <v>149</v>
      </c>
      <c r="D99" s="17">
        <v>374</v>
      </c>
      <c r="E99" s="15">
        <v>102</v>
      </c>
      <c r="F99" s="15">
        <v>259</v>
      </c>
      <c r="G99" s="15">
        <v>1.1453</v>
      </c>
      <c r="H99" s="18">
        <v>0.71449200000000002</v>
      </c>
      <c r="I99" s="15"/>
      <c r="J99" s="15">
        <v>3.63</v>
      </c>
      <c r="K99" s="15">
        <v>19.91</v>
      </c>
      <c r="L99" s="18">
        <v>0.1104</v>
      </c>
      <c r="M99" s="18">
        <v>0.51228399999999996</v>
      </c>
      <c r="N99" s="15"/>
      <c r="O99" s="18">
        <v>0.51201399999999997</v>
      </c>
      <c r="P99" s="18">
        <v>0.70840899999999996</v>
      </c>
      <c r="Q99" s="19">
        <v>-2.79</v>
      </c>
      <c r="R99" s="25">
        <v>1280</v>
      </c>
      <c r="S99" s="25">
        <v>1350</v>
      </c>
      <c r="T99" s="15">
        <v>-0.44</v>
      </c>
      <c r="U99" s="15" t="s">
        <v>142</v>
      </c>
    </row>
    <row r="100" spans="1:21" x14ac:dyDescent="0.25">
      <c r="A100" s="15">
        <v>105</v>
      </c>
      <c r="B100" s="15" t="s">
        <v>111</v>
      </c>
      <c r="C100" s="15" t="s">
        <v>149</v>
      </c>
      <c r="D100" s="17">
        <v>374</v>
      </c>
      <c r="E100" s="15">
        <v>106</v>
      </c>
      <c r="F100" s="15">
        <v>290</v>
      </c>
      <c r="G100" s="15">
        <v>1.0613999999999999</v>
      </c>
      <c r="H100" s="18">
        <v>0.71481799999999995</v>
      </c>
      <c r="I100" s="15"/>
      <c r="J100" s="15">
        <v>3.36</v>
      </c>
      <c r="K100" s="15">
        <v>17.5</v>
      </c>
      <c r="L100" s="18">
        <v>0.1163</v>
      </c>
      <c r="M100" s="18">
        <v>0.51233799999999996</v>
      </c>
      <c r="N100" s="15"/>
      <c r="O100" s="18">
        <v>0.51205400000000001</v>
      </c>
      <c r="P100" s="18">
        <v>0.70918099999999995</v>
      </c>
      <c r="Q100" s="19">
        <v>-2.02</v>
      </c>
      <c r="R100" s="25">
        <v>1270</v>
      </c>
      <c r="S100" s="25">
        <v>1290</v>
      </c>
      <c r="T100" s="15">
        <v>-0.41</v>
      </c>
      <c r="U100" s="15" t="s">
        <v>142</v>
      </c>
    </row>
    <row r="101" spans="1:21" x14ac:dyDescent="0.25">
      <c r="A101" s="15">
        <v>106</v>
      </c>
      <c r="B101" s="15" t="s">
        <v>112</v>
      </c>
      <c r="C101" s="15" t="s">
        <v>149</v>
      </c>
      <c r="D101" s="17">
        <v>374</v>
      </c>
      <c r="E101" s="15">
        <v>119</v>
      </c>
      <c r="F101" s="15">
        <v>253</v>
      </c>
      <c r="G101" s="15">
        <v>1.3606</v>
      </c>
      <c r="H101" s="18">
        <v>0.71687999999999996</v>
      </c>
      <c r="I101" s="15"/>
      <c r="J101" s="15">
        <v>3.47</v>
      </c>
      <c r="K101" s="15">
        <v>18.899999999999999</v>
      </c>
      <c r="L101" s="18">
        <v>0.1111</v>
      </c>
      <c r="M101" s="18">
        <v>0.51229999999999998</v>
      </c>
      <c r="N101" s="15"/>
      <c r="O101" s="18">
        <v>0.51202800000000004</v>
      </c>
      <c r="P101" s="18">
        <v>0.70965400000000001</v>
      </c>
      <c r="Q101" s="19">
        <v>-2.5299999999999998</v>
      </c>
      <c r="R101" s="25">
        <v>1260</v>
      </c>
      <c r="S101" s="25">
        <v>1330</v>
      </c>
      <c r="T101" s="15">
        <v>-0.44</v>
      </c>
      <c r="U101" s="15" t="s">
        <v>142</v>
      </c>
    </row>
    <row r="102" spans="1:21" x14ac:dyDescent="0.25">
      <c r="A102" s="15">
        <v>107</v>
      </c>
      <c r="B102" s="15" t="s">
        <v>113</v>
      </c>
      <c r="C102" s="15" t="s">
        <v>151</v>
      </c>
      <c r="D102" s="17">
        <v>374</v>
      </c>
      <c r="E102" s="15">
        <v>153</v>
      </c>
      <c r="F102" s="15">
        <v>162</v>
      </c>
      <c r="G102" s="15">
        <v>2.7458999999999998</v>
      </c>
      <c r="H102" s="18">
        <v>0.72245000000000004</v>
      </c>
      <c r="I102" s="15"/>
      <c r="J102" s="15">
        <v>3.41</v>
      </c>
      <c r="K102" s="15">
        <v>18.25</v>
      </c>
      <c r="L102" s="18">
        <v>0.113</v>
      </c>
      <c r="M102" s="18">
        <v>0.51235900000000001</v>
      </c>
      <c r="N102" s="15"/>
      <c r="O102" s="18">
        <v>0.51208299999999995</v>
      </c>
      <c r="P102" s="18">
        <v>0.70786700000000002</v>
      </c>
      <c r="Q102" s="19">
        <v>-1.46</v>
      </c>
      <c r="R102" s="25">
        <v>1200</v>
      </c>
      <c r="S102" s="25">
        <v>1240</v>
      </c>
      <c r="T102" s="15">
        <v>-0.43</v>
      </c>
      <c r="U102" s="15" t="s">
        <v>142</v>
      </c>
    </row>
    <row r="103" spans="1:21" x14ac:dyDescent="0.25">
      <c r="A103" s="15">
        <v>108</v>
      </c>
      <c r="B103" s="15" t="s">
        <v>114</v>
      </c>
      <c r="C103" s="15" t="s">
        <v>150</v>
      </c>
      <c r="D103" s="17">
        <v>374</v>
      </c>
      <c r="E103" s="15">
        <v>151</v>
      </c>
      <c r="F103" s="15">
        <v>238</v>
      </c>
      <c r="G103" s="15">
        <v>1.8382000000000001</v>
      </c>
      <c r="H103" s="18">
        <v>0.717696</v>
      </c>
      <c r="I103" s="15"/>
      <c r="J103" s="15">
        <v>3.4</v>
      </c>
      <c r="K103" s="15">
        <v>17.690000000000001</v>
      </c>
      <c r="L103" s="18">
        <v>0.1164</v>
      </c>
      <c r="M103" s="18">
        <v>0.51235200000000003</v>
      </c>
      <c r="N103" s="15"/>
      <c r="O103" s="18">
        <v>0.51206799999999997</v>
      </c>
      <c r="P103" s="18">
        <v>0.70793399999999995</v>
      </c>
      <c r="Q103" s="19">
        <v>-1.75</v>
      </c>
      <c r="R103" s="25">
        <v>1250</v>
      </c>
      <c r="S103" s="25">
        <v>1270</v>
      </c>
      <c r="T103" s="15">
        <v>-0.41</v>
      </c>
      <c r="U103" s="15" t="s">
        <v>142</v>
      </c>
    </row>
    <row r="104" spans="1:21" x14ac:dyDescent="0.25">
      <c r="A104" s="15">
        <v>109</v>
      </c>
      <c r="B104" s="15" t="s">
        <v>115</v>
      </c>
      <c r="C104" s="15" t="s">
        <v>150</v>
      </c>
      <c r="D104" s="17">
        <v>374</v>
      </c>
      <c r="E104" s="15">
        <v>124</v>
      </c>
      <c r="F104" s="15">
        <v>302</v>
      </c>
      <c r="G104" s="15">
        <v>1.1852</v>
      </c>
      <c r="H104" s="18">
        <v>0.71462700000000001</v>
      </c>
      <c r="I104" s="15"/>
      <c r="J104" s="15">
        <v>3.94</v>
      </c>
      <c r="K104" s="15">
        <v>21.83</v>
      </c>
      <c r="L104" s="18">
        <v>0.10929999999999999</v>
      </c>
      <c r="M104" s="18">
        <v>0.51234199999999996</v>
      </c>
      <c r="N104" s="15"/>
      <c r="O104" s="18">
        <v>0.51207499999999995</v>
      </c>
      <c r="P104" s="18">
        <v>0.70833299999999999</v>
      </c>
      <c r="Q104" s="19">
        <v>-1.62</v>
      </c>
      <c r="R104" s="25">
        <v>1180</v>
      </c>
      <c r="S104" s="25">
        <v>1260</v>
      </c>
      <c r="T104" s="15">
        <v>-0.44</v>
      </c>
      <c r="U104" s="15" t="s">
        <v>142</v>
      </c>
    </row>
    <row r="105" spans="1:21" x14ac:dyDescent="0.25">
      <c r="A105" s="15">
        <v>110</v>
      </c>
      <c r="B105" s="15" t="s">
        <v>116</v>
      </c>
      <c r="C105" s="15" t="s">
        <v>153</v>
      </c>
      <c r="D105" s="17">
        <v>310</v>
      </c>
      <c r="E105" s="15">
        <v>51.23</v>
      </c>
      <c r="F105" s="15">
        <v>730.6</v>
      </c>
      <c r="G105" s="15">
        <v>0.20749999999999999</v>
      </c>
      <c r="H105" s="18">
        <v>0.70782299999999998</v>
      </c>
      <c r="I105" s="15"/>
      <c r="J105" s="15">
        <v>1.8240000000000001</v>
      </c>
      <c r="K105" s="15">
        <v>6.6130000000000004</v>
      </c>
      <c r="L105" s="18">
        <v>0.1651</v>
      </c>
      <c r="M105" s="18">
        <v>0.51252299999999995</v>
      </c>
      <c r="N105" s="15"/>
      <c r="O105" s="7">
        <f t="shared" ref="O105:O112" si="23">M105-L105*(EXP(0.654*0.0031)-1)</f>
        <v>0.51218793672112317</v>
      </c>
      <c r="P105" s="7">
        <f t="shared" ref="P105:P112" si="24">H105-G105*(EXP(0.0142*0.3)-1)</f>
        <v>0.70693716451005506</v>
      </c>
      <c r="Q105" s="5">
        <f>(O105/(0.512638-0.1967*(EXP(0.654*0.003)-1))-1)*10000</f>
        <v>-1.2446818403144544</v>
      </c>
      <c r="R105" s="6">
        <f t="shared" ref="R105:R112" si="25">(1/0.654*100000000000)*LN(1+(0.51315-M105)/(0.2135-L105))/1000000</f>
        <v>1968.0967951382499</v>
      </c>
      <c r="S105" s="6">
        <f t="shared" ref="S105:S112" si="26">1/0.654*100000*LN((M105-0.51325-(L105-0.118)*(EXP(0.654*0.003)-1))/(0.118-0.2168)+1)</f>
        <v>1263.0478560210004</v>
      </c>
      <c r="T105" s="5">
        <f t="shared" ref="T105:T112" si="27">L105/0.1967-1</f>
        <v>-0.16065073716319278</v>
      </c>
      <c r="U105" s="15" t="s">
        <v>194</v>
      </c>
    </row>
    <row r="106" spans="1:21" x14ac:dyDescent="0.25">
      <c r="A106" s="15">
        <v>111</v>
      </c>
      <c r="B106" s="15" t="s">
        <v>117</v>
      </c>
      <c r="C106" s="15" t="s">
        <v>153</v>
      </c>
      <c r="D106" s="17">
        <v>310</v>
      </c>
      <c r="E106" s="15">
        <v>73.28</v>
      </c>
      <c r="F106" s="15">
        <v>802.7</v>
      </c>
      <c r="G106" s="15">
        <v>0.26989999999999997</v>
      </c>
      <c r="H106" s="18">
        <v>0.70782800000000001</v>
      </c>
      <c r="I106" s="15"/>
      <c r="J106" s="15">
        <v>1.702</v>
      </c>
      <c r="K106" s="15">
        <v>6.7140000000000004</v>
      </c>
      <c r="L106" s="18">
        <v>0.15670000000000001</v>
      </c>
      <c r="M106" s="18">
        <v>0.51251800000000003</v>
      </c>
      <c r="N106" s="15"/>
      <c r="O106" s="7">
        <f t="shared" si="23"/>
        <v>0.51219998415626899</v>
      </c>
      <c r="P106" s="7">
        <f t="shared" si="24"/>
        <v>0.70667577350006672</v>
      </c>
      <c r="Q106" s="5">
        <f t="shared" ref="Q106:Q112" si="28">(O106/(0.512638-0.1967*(EXP(0.654*0.003)-1))-1)*10000</f>
        <v>-1.0094959884077159</v>
      </c>
      <c r="R106" s="6">
        <f t="shared" si="25"/>
        <v>1691.9439674427417</v>
      </c>
      <c r="S106" s="6">
        <f t="shared" si="26"/>
        <v>1245.4002149789501</v>
      </c>
      <c r="T106" s="5">
        <f t="shared" si="27"/>
        <v>-0.20335536349771233</v>
      </c>
      <c r="U106" s="15" t="s">
        <v>194</v>
      </c>
    </row>
    <row r="107" spans="1:21" x14ac:dyDescent="0.25">
      <c r="A107" s="15">
        <v>112</v>
      </c>
      <c r="B107" s="15" t="s">
        <v>118</v>
      </c>
      <c r="C107" s="15" t="s">
        <v>153</v>
      </c>
      <c r="D107" s="17">
        <v>310</v>
      </c>
      <c r="E107" s="15">
        <v>75.63</v>
      </c>
      <c r="F107" s="15">
        <v>603.70000000000005</v>
      </c>
      <c r="G107" s="15">
        <v>0.36720000000000003</v>
      </c>
      <c r="H107" s="18">
        <v>0.70783600000000002</v>
      </c>
      <c r="I107" s="15"/>
      <c r="J107" s="15">
        <v>2.3079999999999998</v>
      </c>
      <c r="K107" s="15">
        <v>10.09</v>
      </c>
      <c r="L107" s="18">
        <v>0.14019999999999999</v>
      </c>
      <c r="M107" s="18">
        <v>0.51251599999999997</v>
      </c>
      <c r="N107" s="15"/>
      <c r="O107" s="7">
        <f t="shared" si="23"/>
        <v>0.51223147018959092</v>
      </c>
      <c r="P107" s="7">
        <f t="shared" si="24"/>
        <v>0.70626839136429986</v>
      </c>
      <c r="Q107" s="5">
        <f t="shared" si="28"/>
        <v>-0.39483656253169741</v>
      </c>
      <c r="R107" s="6">
        <f t="shared" si="25"/>
        <v>1316.8493038913177</v>
      </c>
      <c r="S107" s="6">
        <f t="shared" si="26"/>
        <v>1198.7196447597953</v>
      </c>
      <c r="T107" s="5">
        <f t="shared" si="27"/>
        <v>-0.28723945094051861</v>
      </c>
      <c r="U107" s="15" t="s">
        <v>194</v>
      </c>
    </row>
    <row r="108" spans="1:21" x14ac:dyDescent="0.25">
      <c r="A108" s="15">
        <v>113</v>
      </c>
      <c r="B108" s="15" t="s">
        <v>119</v>
      </c>
      <c r="C108" s="15" t="s">
        <v>153</v>
      </c>
      <c r="D108" s="17">
        <v>310</v>
      </c>
      <c r="E108" s="15">
        <v>78.12</v>
      </c>
      <c r="F108" s="15">
        <v>341.5</v>
      </c>
      <c r="G108" s="15">
        <v>0.67530000000000001</v>
      </c>
      <c r="H108" s="18">
        <v>0.70910499999999999</v>
      </c>
      <c r="I108" s="15"/>
      <c r="J108" s="15">
        <v>6.4020000000000001</v>
      </c>
      <c r="K108" s="15">
        <v>32.35</v>
      </c>
      <c r="L108" s="18">
        <v>0.1226</v>
      </c>
      <c r="M108" s="18">
        <v>0.51251100000000005</v>
      </c>
      <c r="N108" s="15"/>
      <c r="O108" s="7">
        <f t="shared" si="23"/>
        <v>0.51226218862513451</v>
      </c>
      <c r="P108" s="7">
        <f t="shared" si="24"/>
        <v>0.70622208575248269</v>
      </c>
      <c r="Q108" s="5">
        <f t="shared" si="28"/>
        <v>0.20483808565119332</v>
      </c>
      <c r="R108" s="6">
        <f t="shared" si="25"/>
        <v>1071.1177058478188</v>
      </c>
      <c r="S108" s="6">
        <f t="shared" si="26"/>
        <v>1153.3145702296886</v>
      </c>
      <c r="T108" s="5">
        <f t="shared" si="27"/>
        <v>-0.376715810879512</v>
      </c>
      <c r="U108" s="15" t="s">
        <v>194</v>
      </c>
    </row>
    <row r="109" spans="1:21" x14ac:dyDescent="0.25">
      <c r="A109" s="15">
        <v>114</v>
      </c>
      <c r="B109" s="15" t="s">
        <v>120</v>
      </c>
      <c r="C109" s="15" t="s">
        <v>154</v>
      </c>
      <c r="D109" s="17">
        <v>310</v>
      </c>
      <c r="E109" s="15">
        <v>31.84</v>
      </c>
      <c r="F109" s="15">
        <v>352.6</v>
      </c>
      <c r="G109" s="15">
        <v>0.2475</v>
      </c>
      <c r="H109" s="18">
        <v>0.70782500000000004</v>
      </c>
      <c r="I109" s="15"/>
      <c r="J109" s="15">
        <v>3.9140000000000001</v>
      </c>
      <c r="K109" s="15">
        <v>18.11</v>
      </c>
      <c r="L109" s="18">
        <v>0.1308</v>
      </c>
      <c r="M109" s="18">
        <v>0.512513</v>
      </c>
      <c r="N109" s="15"/>
      <c r="O109" s="7">
        <f t="shared" si="23"/>
        <v>0.51224754708130171</v>
      </c>
      <c r="P109" s="7">
        <f t="shared" si="24"/>
        <v>0.70676840104211391</v>
      </c>
      <c r="Q109" s="5">
        <f t="shared" si="28"/>
        <v>-8.098905663000977E-2</v>
      </c>
      <c r="R109" s="6">
        <f t="shared" si="25"/>
        <v>1173.2455957980787</v>
      </c>
      <c r="S109" s="6">
        <f t="shared" si="26"/>
        <v>1174.9769938021925</v>
      </c>
      <c r="T109" s="5">
        <f t="shared" si="27"/>
        <v>-0.33502796136248103</v>
      </c>
      <c r="U109" s="15" t="s">
        <v>194</v>
      </c>
    </row>
    <row r="110" spans="1:21" x14ac:dyDescent="0.25">
      <c r="A110" s="15">
        <v>115</v>
      </c>
      <c r="B110" s="15" t="s">
        <v>121</v>
      </c>
      <c r="C110" s="15" t="s">
        <v>154</v>
      </c>
      <c r="D110" s="17">
        <v>310</v>
      </c>
      <c r="E110" s="15">
        <v>27.81</v>
      </c>
      <c r="F110" s="15">
        <v>368.1</v>
      </c>
      <c r="G110" s="15">
        <v>0.21479999999999999</v>
      </c>
      <c r="H110" s="18">
        <v>0.707816</v>
      </c>
      <c r="I110" s="15"/>
      <c r="J110" s="15">
        <v>3.5019999999999998</v>
      </c>
      <c r="K110" s="15">
        <v>15.36</v>
      </c>
      <c r="L110" s="18">
        <v>0.14249999999999999</v>
      </c>
      <c r="M110" s="18">
        <v>0.51251999999999998</v>
      </c>
      <c r="N110" s="15"/>
      <c r="O110" s="7">
        <f t="shared" si="23"/>
        <v>0.51223080243949148</v>
      </c>
      <c r="P110" s="7">
        <f t="shared" si="24"/>
        <v>0.70689900017715579</v>
      </c>
      <c r="Q110" s="5">
        <f t="shared" si="28"/>
        <v>-0.40787214845461328</v>
      </c>
      <c r="R110" s="6">
        <f t="shared" si="25"/>
        <v>1350.7803646857353</v>
      </c>
      <c r="S110" s="6">
        <f t="shared" si="26"/>
        <v>1199.5135615967924</v>
      </c>
      <c r="T110" s="5">
        <f t="shared" si="27"/>
        <v>-0.27554651753940018</v>
      </c>
      <c r="U110" s="15" t="s">
        <v>194</v>
      </c>
    </row>
    <row r="111" spans="1:21" x14ac:dyDescent="0.25">
      <c r="A111" s="15">
        <v>116</v>
      </c>
      <c r="B111" s="15" t="s">
        <v>122</v>
      </c>
      <c r="C111" s="15" t="s">
        <v>155</v>
      </c>
      <c r="D111" s="17">
        <v>310</v>
      </c>
      <c r="E111" s="15">
        <v>19.75</v>
      </c>
      <c r="F111" s="15">
        <v>302.5</v>
      </c>
      <c r="G111" s="15">
        <v>0.18609999999999999</v>
      </c>
      <c r="H111" s="18">
        <v>0.70779599999999998</v>
      </c>
      <c r="I111" s="15"/>
      <c r="J111" s="15">
        <v>3.9950000000000001</v>
      </c>
      <c r="K111" s="15">
        <v>17.97</v>
      </c>
      <c r="L111" s="18">
        <v>0.13389999999999999</v>
      </c>
      <c r="M111" s="18">
        <v>0.51251599999999997</v>
      </c>
      <c r="N111" s="15"/>
      <c r="O111" s="7">
        <f t="shared" si="23"/>
        <v>0.51224425576595023</v>
      </c>
      <c r="P111" s="7">
        <f t="shared" si="24"/>
        <v>0.70700152296540353</v>
      </c>
      <c r="Q111" s="5">
        <f t="shared" si="28"/>
        <v>-0.14524097377788259</v>
      </c>
      <c r="R111" s="6">
        <f t="shared" si="25"/>
        <v>1213.038583260256</v>
      </c>
      <c r="S111" s="6">
        <f t="shared" si="26"/>
        <v>1179.7196602000338</v>
      </c>
      <c r="T111" s="5">
        <f t="shared" si="27"/>
        <v>-0.3192679206914083</v>
      </c>
      <c r="U111" s="15" t="s">
        <v>194</v>
      </c>
    </row>
    <row r="112" spans="1:21" x14ac:dyDescent="0.25">
      <c r="A112" s="15">
        <v>117</v>
      </c>
      <c r="B112" s="15" t="s">
        <v>123</v>
      </c>
      <c r="C112" s="15" t="s">
        <v>156</v>
      </c>
      <c r="D112" s="17">
        <v>310</v>
      </c>
      <c r="E112" s="15">
        <v>59.92</v>
      </c>
      <c r="F112" s="15">
        <v>48.52</v>
      </c>
      <c r="G112" s="15">
        <v>3.6379999999999999</v>
      </c>
      <c r="H112" s="18">
        <v>0.72081399999999995</v>
      </c>
      <c r="I112" s="15"/>
      <c r="J112" s="15">
        <v>11.85</v>
      </c>
      <c r="K112" s="15">
        <v>51.89</v>
      </c>
      <c r="L112" s="18">
        <v>0.1386</v>
      </c>
      <c r="M112" s="18">
        <v>0.51252699999999995</v>
      </c>
      <c r="N112" s="15"/>
      <c r="O112" s="7">
        <f t="shared" si="23"/>
        <v>0.51224571732009483</v>
      </c>
      <c r="P112" s="7">
        <f t="shared" si="24"/>
        <v>0.7052830625907478</v>
      </c>
      <c r="Q112" s="5">
        <f t="shared" si="28"/>
        <v>-0.1167090205078658</v>
      </c>
      <c r="R112" s="6">
        <f t="shared" si="25"/>
        <v>1266.5680583093249</v>
      </c>
      <c r="S112" s="6">
        <f t="shared" si="26"/>
        <v>1177.0020901643575</v>
      </c>
      <c r="T112" s="5">
        <f t="shared" si="27"/>
        <v>-0.29537366548042709</v>
      </c>
      <c r="U112" s="15" t="s">
        <v>194</v>
      </c>
    </row>
    <row r="114" spans="1:1" x14ac:dyDescent="0.25">
      <c r="A114" t="s">
        <v>171</v>
      </c>
    </row>
    <row r="115" spans="1:1" x14ac:dyDescent="0.25">
      <c r="A115" t="s">
        <v>172</v>
      </c>
    </row>
    <row r="116" spans="1:1" x14ac:dyDescent="0.25">
      <c r="A116" t="s">
        <v>173</v>
      </c>
    </row>
    <row r="117" spans="1:1" x14ac:dyDescent="0.25">
      <c r="A117" t="s">
        <v>174</v>
      </c>
    </row>
    <row r="118" spans="1:1" x14ac:dyDescent="0.25">
      <c r="A118" t="s">
        <v>175</v>
      </c>
    </row>
    <row r="119" spans="1:1" x14ac:dyDescent="0.25">
      <c r="A119" t="s">
        <v>178</v>
      </c>
    </row>
    <row r="120" spans="1:1" x14ac:dyDescent="0.25">
      <c r="A120" t="s">
        <v>179</v>
      </c>
    </row>
    <row r="121" spans="1:1" x14ac:dyDescent="0.25">
      <c r="A121" s="13" t="s">
        <v>184</v>
      </c>
    </row>
    <row r="122" spans="1:1" x14ac:dyDescent="0.25">
      <c r="A122" t="s">
        <v>180</v>
      </c>
    </row>
    <row r="123" spans="1:1" x14ac:dyDescent="0.25">
      <c r="A123" t="s">
        <v>181</v>
      </c>
    </row>
    <row r="124" spans="1:1" x14ac:dyDescent="0.25">
      <c r="A124" t="s">
        <v>182</v>
      </c>
    </row>
    <row r="125" spans="1:1" x14ac:dyDescent="0.25">
      <c r="A125" t="s">
        <v>183</v>
      </c>
    </row>
    <row r="126" spans="1:1" x14ac:dyDescent="0.25">
      <c r="A126" t="s">
        <v>185</v>
      </c>
    </row>
    <row r="127" spans="1:1" x14ac:dyDescent="0.25">
      <c r="A127" t="s">
        <v>186</v>
      </c>
    </row>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1.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1</vt:i4>
      </vt:variant>
    </vt:vector>
  </HeadingPairs>
  <TitlesOfParts>
    <vt:vector size="10" baseType="lpstr">
      <vt:lpstr>Sheet1</vt:lpstr>
      <vt:lpstr>Sheet2</vt:lpstr>
      <vt:lpstr>Sheet3</vt:lpstr>
      <vt:lpstr>Sheet4</vt:lpstr>
      <vt:lpstr>Sheet5</vt:lpstr>
      <vt:lpstr>Sheet6</vt:lpstr>
      <vt:lpstr>Sheet7</vt:lpstr>
      <vt:lpstr>Sheet8</vt:lpstr>
      <vt:lpstr>Sheet9</vt:lpstr>
      <vt:lpstr>Sheet1!新建文本文档__2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wangxiangsong</dc:creator>
  <cp:lastModifiedBy>xiang</cp:lastModifiedBy>
  <dcterms:created xsi:type="dcterms:W3CDTF">2019-04-14T07:47:04Z</dcterms:created>
  <dcterms:modified xsi:type="dcterms:W3CDTF">2020-01-18T08:58:49Z</dcterms:modified>
</cp:coreProperties>
</file>