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3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irenewjw_connect_hku_hk/Documents/Thesis/Data/Biodistribution/"/>
    </mc:Choice>
  </mc:AlternateContent>
  <xr:revisionPtr revIDLastSave="520" documentId="13_ncr:1_{243AB32E-2FB1-6D4A-B632-28DCB30CD15E}" xr6:coauthVersionLast="47" xr6:coauthVersionMax="47" xr10:uidLastSave="{5EE4154C-3AF4-7640-9176-61B63FA75B23}"/>
  <bookViews>
    <workbookView xWindow="2160" yWindow="460" windowWidth="20720" windowHeight="15940" activeTab="2" xr2:uid="{97EFC4F4-A6BD-D24F-87B8-85360FEBDEEF}"/>
  </bookViews>
  <sheets>
    <sheet name="VitD3" sheetId="1" r:id="rId1"/>
    <sheet name="25OH" sheetId="3" r:id="rId2"/>
    <sheet name="1,25OH2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7" i="4" l="1"/>
  <c r="C98" i="4"/>
  <c r="C99" i="4"/>
  <c r="C100" i="4"/>
  <c r="C96" i="4"/>
  <c r="B56" i="4" l="1"/>
  <c r="C48" i="4"/>
  <c r="C49" i="4"/>
  <c r="C50" i="4"/>
  <c r="C51" i="4"/>
  <c r="C47" i="4"/>
  <c r="B39" i="4"/>
  <c r="C31" i="4"/>
  <c r="C32" i="4"/>
  <c r="C33" i="4"/>
  <c r="C34" i="4"/>
  <c r="C30" i="4"/>
  <c r="B39" i="3"/>
  <c r="L15" i="4"/>
  <c r="L16" i="4"/>
  <c r="L17" i="4"/>
  <c r="L18" i="4"/>
  <c r="L14" i="4"/>
  <c r="M15" i="3"/>
  <c r="M16" i="3"/>
  <c r="M17" i="3"/>
  <c r="M18" i="3"/>
  <c r="M14" i="3"/>
  <c r="B72" i="4"/>
  <c r="B88" i="4"/>
  <c r="B121" i="4"/>
  <c r="C120" i="4"/>
  <c r="C119" i="4"/>
  <c r="C86" i="4"/>
  <c r="C85" i="4"/>
  <c r="C70" i="4"/>
  <c r="C69" i="4"/>
  <c r="C103" i="3"/>
  <c r="C102" i="3"/>
  <c r="C86" i="3"/>
  <c r="C85" i="3"/>
  <c r="C70" i="3"/>
  <c r="C69" i="3"/>
  <c r="C54" i="3"/>
  <c r="C53" i="3"/>
  <c r="C37" i="3"/>
  <c r="C36" i="3"/>
  <c r="D120" i="1"/>
  <c r="D119" i="1"/>
  <c r="D103" i="1"/>
  <c r="D102" i="1"/>
  <c r="D86" i="1"/>
  <c r="D85" i="1"/>
  <c r="D70" i="1"/>
  <c r="D69" i="1"/>
  <c r="D54" i="1"/>
  <c r="D53" i="1"/>
  <c r="D37" i="1"/>
  <c r="D36" i="1"/>
  <c r="C114" i="4"/>
  <c r="C115" i="4"/>
  <c r="C116" i="4"/>
  <c r="C117" i="4"/>
  <c r="C113" i="4"/>
  <c r="C80" i="4"/>
  <c r="C81" i="4"/>
  <c r="C82" i="4"/>
  <c r="C83" i="4"/>
  <c r="C79" i="4"/>
  <c r="C64" i="4"/>
  <c r="C65" i="4"/>
  <c r="C66" i="4"/>
  <c r="C67" i="4"/>
  <c r="C63" i="4"/>
  <c r="B56" i="3"/>
  <c r="B72" i="3"/>
  <c r="B88" i="3"/>
  <c r="B104" i="3"/>
  <c r="B121" i="3"/>
  <c r="C114" i="3"/>
  <c r="C115" i="3"/>
  <c r="C116" i="3"/>
  <c r="C117" i="3"/>
  <c r="C113" i="3"/>
  <c r="C120" i="3" s="1"/>
  <c r="C97" i="3"/>
  <c r="C98" i="3"/>
  <c r="C99" i="3"/>
  <c r="C100" i="3"/>
  <c r="C96" i="3"/>
  <c r="C80" i="3"/>
  <c r="C81" i="3"/>
  <c r="C82" i="3"/>
  <c r="C83" i="3"/>
  <c r="C79" i="3"/>
  <c r="C64" i="3"/>
  <c r="C65" i="3"/>
  <c r="C66" i="3"/>
  <c r="C67" i="3"/>
  <c r="C63" i="3"/>
  <c r="C48" i="3"/>
  <c r="C49" i="3"/>
  <c r="C50" i="3"/>
  <c r="C51" i="3"/>
  <c r="C47" i="3"/>
  <c r="C31" i="3"/>
  <c r="C32" i="3"/>
  <c r="C33" i="3"/>
  <c r="C34" i="3"/>
  <c r="C30" i="3"/>
  <c r="C121" i="1"/>
  <c r="C104" i="1"/>
  <c r="C72" i="1"/>
  <c r="C56" i="1"/>
  <c r="C39" i="1"/>
  <c r="D114" i="1"/>
  <c r="D115" i="1"/>
  <c r="D116" i="1"/>
  <c r="D117" i="1"/>
  <c r="D113" i="1"/>
  <c r="D97" i="1"/>
  <c r="D98" i="1"/>
  <c r="D99" i="1"/>
  <c r="D100" i="1"/>
  <c r="D96" i="1"/>
  <c r="D80" i="1"/>
  <c r="D81" i="1"/>
  <c r="D82" i="1"/>
  <c r="D83" i="1"/>
  <c r="D79" i="1"/>
  <c r="D64" i="1"/>
  <c r="D65" i="1"/>
  <c r="D66" i="1"/>
  <c r="D67" i="1"/>
  <c r="D63" i="1"/>
  <c r="D48" i="1"/>
  <c r="D49" i="1"/>
  <c r="D50" i="1"/>
  <c r="D51" i="1"/>
  <c r="D47" i="1"/>
  <c r="D31" i="1"/>
  <c r="D32" i="1"/>
  <c r="D33" i="1"/>
  <c r="D34" i="1"/>
  <c r="D30" i="1"/>
  <c r="C14" i="1"/>
  <c r="F12" i="1"/>
  <c r="C119" i="3" l="1"/>
  <c r="C103" i="4"/>
  <c r="C102" i="4"/>
  <c r="B31" i="1"/>
  <c r="B32" i="1"/>
  <c r="B33" i="1"/>
  <c r="B34" i="1"/>
  <c r="B30" i="1"/>
  <c r="B14" i="4" l="1"/>
  <c r="E12" i="4"/>
  <c r="C54" i="4" l="1"/>
  <c r="C53" i="4"/>
  <c r="C37" i="4"/>
  <c r="C36" i="4"/>
</calcChain>
</file>

<file path=xl/sharedStrings.xml><?xml version="1.0" encoding="utf-8"?>
<sst xmlns="http://schemas.openxmlformats.org/spreadsheetml/2006/main" count="209" uniqueCount="49">
  <si>
    <t>Area</t>
  </si>
  <si>
    <t>HPLC Method</t>
  </si>
  <si>
    <t>D3</t>
  </si>
  <si>
    <t>mobile phase</t>
  </si>
  <si>
    <t>flow rate</t>
  </si>
  <si>
    <t>injection volume</t>
  </si>
  <si>
    <t>column temp.</t>
  </si>
  <si>
    <t>not controlled</t>
  </si>
  <si>
    <t>wavelenght</t>
  </si>
  <si>
    <t>265nm</t>
  </si>
  <si>
    <t>retention time</t>
  </si>
  <si>
    <t>column</t>
  </si>
  <si>
    <t>100 microliter</t>
  </si>
  <si>
    <t>C18+guard column</t>
  </si>
  <si>
    <t>Plasma</t>
  </si>
  <si>
    <t>Brain</t>
  </si>
  <si>
    <t>Spleen</t>
  </si>
  <si>
    <t>Liver</t>
  </si>
  <si>
    <t>Lung</t>
  </si>
  <si>
    <t>Kidney</t>
  </si>
  <si>
    <t>Recovery</t>
  </si>
  <si>
    <t>1 mL/min</t>
  </si>
  <si>
    <t>conc. (µg/mL)</t>
  </si>
  <si>
    <t>In vitro</t>
  </si>
  <si>
    <t>VitD3 conc. (µg/mL)</t>
  </si>
  <si>
    <t>LOD</t>
  </si>
  <si>
    <t>20.2-20.4</t>
  </si>
  <si>
    <t>20.2-20.3</t>
  </si>
  <si>
    <t>20.3-20.6</t>
  </si>
  <si>
    <t>20.5-20.6</t>
  </si>
  <si>
    <t>20.1-20.2</t>
  </si>
  <si>
    <t>342.24x+10.41</t>
  </si>
  <si>
    <t>400.57x+13.969</t>
  </si>
  <si>
    <t>331.9x+12.736</t>
  </si>
  <si>
    <t>296.84x-3.772</t>
  </si>
  <si>
    <t>373.79x+58.978</t>
  </si>
  <si>
    <t>332.07x+10.594</t>
  </si>
  <si>
    <t>blank</t>
  </si>
  <si>
    <t>20.3-20.4</t>
  </si>
  <si>
    <t>353.43x+53.17</t>
  </si>
  <si>
    <t>0-5: MeOH:0.1%TFA 70:30;5-10: -&gt; 100% MeOH;10-25: 100% MeOH; 25-26: -&gt; 70:300;26-30: 70:30</t>
  </si>
  <si>
    <t>Baseline (nmol/mL)</t>
  </si>
  <si>
    <t>Baseline (nmol/g)</t>
  </si>
  <si>
    <t>N/A</t>
  </si>
  <si>
    <t>nmol/mL</t>
  </si>
  <si>
    <t>20.2 min</t>
  </si>
  <si>
    <t>14.2 min</t>
  </si>
  <si>
    <t>13.3 min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</si>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</sst>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VitD3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VitD3!$A$14:$A$18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VitD3!$C$14:$C$18</c:f>
              <c:numCache>
                <c:formatCode>General</c:formatCode>
                <c:ptCount val="5"/>
                <c:pt idx="0">
                  <c:v>13.666666666666666</c:v>
                </c:pt>
                <c:pt idx="1">
                  <c:v>29.3</c:v>
                </c:pt>
                <c:pt idx="2">
                  <c:v>60</c:v>
                </c:pt>
                <c:pt idx="3">
                  <c:v>143.6</c:v>
                </c:pt>
                <c:pt idx="4">
                  <c:v>289.60000000000002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61-D843-AB4F-DDCB03AC9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433264"/>
        <c:axId val="1077655712"/>
      </c:scatterChart>
      <c:valAx>
        <c:axId val="1086433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Conc.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655712"/>
        <c:crosses val="autoZero"/>
        <c:crossBetween val="midCat"/>
      </c:valAx>
      <c:valAx>
        <c:axId val="107765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433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Spleen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'25OH'!$A$47:$A$51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'25OH'!$B$47:$B$51</c:f>
              <c:numCache>
                <c:formatCode>General</c:formatCode>
                <c:ptCount val="5"/>
                <c:pt idx="0">
                  <c:v>21.9</c:v>
                </c:pt>
                <c:pt idx="1">
                  <c:v>35.1</c:v>
                </c:pt>
                <c:pt idx="2">
                  <c:v>55.4</c:v>
                </c:pt>
                <c:pt idx="3">
                  <c:v>133.4</c:v>
                </c:pt>
                <c:pt idx="4">
                  <c:v>287.2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E7-7841-9299-B270C8E82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5867168"/>
        <c:axId val="1499266336"/>
      </c:scatterChart>
      <c:valAx>
        <c:axId val="150586716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9266336"/>
        <c:crosses val="autoZero"/>
        <c:crossBetween val="midCat"/>
      </c:valAx>
      <c:valAx>
        <c:axId val="149926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5867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'25OH'!$A$63:$A$67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'25OH'!$B$63:$B$67</c:f>
              <c:numCache>
                <c:formatCode>General</c:formatCode>
                <c:ptCount val="5"/>
                <c:pt idx="0">
                  <c:v>19.899999999999999</c:v>
                </c:pt>
                <c:pt idx="1">
                  <c:v>32.200000000000003</c:v>
                </c:pt>
                <c:pt idx="2">
                  <c:v>68.099999999999994</c:v>
                </c:pt>
                <c:pt idx="3">
                  <c:v>160.19999999999999</c:v>
                </c:pt>
                <c:pt idx="4">
                  <c:v>295.5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43-CE44-84E7-DC72861B2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5271056"/>
        <c:axId val="1472723744"/>
      </c:scatterChart>
      <c:valAx>
        <c:axId val="152527105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23744"/>
        <c:crosses val="autoZero"/>
        <c:crossBetween val="midCat"/>
      </c:valAx>
      <c:valAx>
        <c:axId val="147272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527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Kidney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'25OH'!$A$79:$A$83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'25OH'!$B$79:$B$83</c:f>
              <c:numCache>
                <c:formatCode>General</c:formatCode>
                <c:ptCount val="5"/>
                <c:pt idx="0">
                  <c:v>23.5</c:v>
                </c:pt>
                <c:pt idx="1">
                  <c:v>37.1</c:v>
                </c:pt>
                <c:pt idx="2">
                  <c:v>55.4</c:v>
                </c:pt>
                <c:pt idx="3">
                  <c:v>134.5</c:v>
                </c:pt>
                <c:pt idx="4">
                  <c:v>267.39999999999998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0D-CE49-9ADF-E1C2534A9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4736032"/>
        <c:axId val="1520391344"/>
      </c:scatterChart>
      <c:valAx>
        <c:axId val="152473603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0391344"/>
        <c:crosses val="autoZero"/>
        <c:crossBetween val="midCat"/>
      </c:valAx>
      <c:valAx>
        <c:axId val="152039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4736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Brain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'25OH'!$A$96:$A$100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'25OH'!$B$96:$B$100</c:f>
              <c:numCache>
                <c:formatCode>General</c:formatCode>
                <c:ptCount val="5"/>
                <c:pt idx="0">
                  <c:v>25.3</c:v>
                </c:pt>
                <c:pt idx="1">
                  <c:v>42.1</c:v>
                </c:pt>
                <c:pt idx="2">
                  <c:v>89.7</c:v>
                </c:pt>
                <c:pt idx="3">
                  <c:v>175.7</c:v>
                </c:pt>
                <c:pt idx="4">
                  <c:v>358.3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50-584B-8010-8A548BE2C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558528"/>
        <c:axId val="1515499456"/>
      </c:scatterChart>
      <c:valAx>
        <c:axId val="151955852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5499456"/>
        <c:crosses val="autoZero"/>
        <c:crossBetween val="midCat"/>
      </c:valAx>
      <c:valAx>
        <c:axId val="151549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9558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Liver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'25OH'!$A$113:$A$117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'25OH'!$B$113:$B$117</c:f>
              <c:numCache>
                <c:formatCode>General</c:formatCode>
                <c:ptCount val="5"/>
                <c:pt idx="0">
                  <c:v>20.5</c:v>
                </c:pt>
                <c:pt idx="1">
                  <c:v>33.9</c:v>
                </c:pt>
                <c:pt idx="2">
                  <c:v>65.099999999999994</c:v>
                </c:pt>
                <c:pt idx="3">
                  <c:v>149.80000000000001</c:v>
                </c:pt>
                <c:pt idx="4">
                  <c:v>277.10000000000002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28-4F4F-A0FA-4DD04B045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021936"/>
        <c:axId val="1535612960"/>
      </c:scatterChart>
      <c:valAx>
        <c:axId val="151102193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612960"/>
        <c:crosses val="autoZero"/>
        <c:crossBetween val="midCat"/>
      </c:valAx>
      <c:valAx>
        <c:axId val="153561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021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Brain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'25OH'!$N$97:$N$101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'25OH'!$O$97:$O$101</c:f>
              <c:numCache>
                <c:formatCode>General</c:formatCode>
                <c:ptCount val="5"/>
                <c:pt idx="0">
                  <c:v>68</c:v>
                </c:pt>
                <c:pt idx="1">
                  <c:v>91.9</c:v>
                </c:pt>
                <c:pt idx="2">
                  <c:v>120.6</c:v>
                </c:pt>
                <c:pt idx="3">
                  <c:v>234.4</c:v>
                </c:pt>
                <c:pt idx="4">
                  <c:v>404.8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A4-064C-A974-95B8C5397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291824"/>
        <c:axId val="715959392"/>
      </c:scatterChart>
      <c:valAx>
        <c:axId val="71629182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959392"/>
        <c:crosses val="autoZero"/>
        <c:crossBetween val="midCat"/>
      </c:valAx>
      <c:valAx>
        <c:axId val="71595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6291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'25OH'!$A$14:$A$18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'25OH'!$B$14:$B$18</c:f>
              <c:numCache>
                <c:formatCode>General</c:formatCode>
                <c:ptCount val="5"/>
                <c:pt idx="0">
                  <c:v>11.93333333</c:v>
                </c:pt>
                <c:pt idx="1">
                  <c:v>21.4</c:v>
                </c:pt>
                <c:pt idx="2">
                  <c:v>44.8</c:v>
                </c:pt>
                <c:pt idx="3">
                  <c:v>122.7</c:v>
                </c:pt>
                <c:pt idx="4">
                  <c:v>255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51-094B-97E4-315704BD8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1859631"/>
        <c:axId val="1821844671"/>
      </c:scatterChart>
      <c:valAx>
        <c:axId val="1821859631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1844671"/>
        <c:crosses val="autoZero"/>
        <c:crossBetween val="midCat"/>
      </c:valAx>
      <c:valAx>
        <c:axId val="1821844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1859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1,</a:t>
            </a:r>
            <a:r>
              <a:rPr lang="en-US"/>
              <a:t>25OH2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'1,25OH2'!$A$14:$A$18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'1,25OH2'!$B$14:$B$18</c:f>
              <c:numCache>
                <c:formatCode>General</c:formatCode>
                <c:ptCount val="5"/>
                <c:pt idx="0">
                  <c:v>11.566666666666668</c:v>
                </c:pt>
                <c:pt idx="1">
                  <c:v>23.4</c:v>
                </c:pt>
                <c:pt idx="2">
                  <c:v>46.8</c:v>
                </c:pt>
                <c:pt idx="3">
                  <c:v>117.5</c:v>
                </c:pt>
                <c:pt idx="4">
                  <c:v>230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59-A34D-9BB8-4E6F888C3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433264"/>
        <c:axId val="1077655712"/>
      </c:scatterChart>
      <c:valAx>
        <c:axId val="1086433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Conc.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655712"/>
        <c:crosses val="autoZero"/>
        <c:crossBetween val="midCat"/>
      </c:valAx>
      <c:valAx>
        <c:axId val="107765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433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Plasma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'1,25OH2'!$A$30:$A$34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'1,25OH2'!$B$30:$B$34</c:f>
              <c:numCache>
                <c:formatCode>General</c:formatCode>
                <c:ptCount val="5"/>
                <c:pt idx="0">
                  <c:v>11.2</c:v>
                </c:pt>
                <c:pt idx="1">
                  <c:v>33.700000000000003</c:v>
                </c:pt>
                <c:pt idx="2">
                  <c:v>60.8</c:v>
                </c:pt>
                <c:pt idx="3">
                  <c:v>143.6</c:v>
                </c:pt>
                <c:pt idx="4">
                  <c:v>293.8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B5-5344-97B8-080723A1C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2891648"/>
        <c:axId val="1517825264"/>
      </c:scatterChart>
      <c:valAx>
        <c:axId val="151289164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7825264"/>
        <c:crosses val="autoZero"/>
        <c:crossBetween val="midCat"/>
      </c:valAx>
      <c:valAx>
        <c:axId val="151782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2891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Spleen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'1,25OH2'!$A$47:$A$51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'1,25OH2'!$B$47:$B$51</c:f>
              <c:numCache>
                <c:formatCode>General</c:formatCode>
                <c:ptCount val="5"/>
                <c:pt idx="0">
                  <c:v>18.899999999999999</c:v>
                </c:pt>
                <c:pt idx="1">
                  <c:v>32.1</c:v>
                </c:pt>
                <c:pt idx="2">
                  <c:v>52.4</c:v>
                </c:pt>
                <c:pt idx="3">
                  <c:v>137.9</c:v>
                </c:pt>
                <c:pt idx="4">
                  <c:v>284.2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D7-694F-AF0A-8E629D734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5867168"/>
        <c:axId val="1499266336"/>
      </c:scatterChart>
      <c:valAx>
        <c:axId val="150586716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9266336"/>
        <c:crosses val="autoZero"/>
        <c:crossBetween val="midCat"/>
      </c:valAx>
      <c:valAx>
        <c:axId val="149926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5867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Plasma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VitD3!$A$30:$A$34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VitD3!$C$30:$C$34</c:f>
              <c:numCache>
                <c:formatCode>General</c:formatCode>
                <c:ptCount val="5"/>
                <c:pt idx="0">
                  <c:v>24.4</c:v>
                </c:pt>
                <c:pt idx="1">
                  <c:v>44.8</c:v>
                </c:pt>
                <c:pt idx="2">
                  <c:v>75.400000000000006</c:v>
                </c:pt>
                <c:pt idx="3">
                  <c:v>192.7</c:v>
                </c:pt>
                <c:pt idx="4">
                  <c:v>347.9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D3-DE44-8256-4D40B1F7B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2891648"/>
        <c:axId val="1517825264"/>
      </c:scatterChart>
      <c:valAx>
        <c:axId val="151289164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7825264"/>
        <c:crosses val="autoZero"/>
        <c:crossBetween val="midCat"/>
      </c:valAx>
      <c:valAx>
        <c:axId val="151782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2891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'1,25OH2'!$A$63:$A$67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'1,25OH2'!$B$63:$B$67</c:f>
              <c:numCache>
                <c:formatCode>General</c:formatCode>
                <c:ptCount val="5"/>
                <c:pt idx="0">
                  <c:v>33.1</c:v>
                </c:pt>
                <c:pt idx="1">
                  <c:v>42.4</c:v>
                </c:pt>
                <c:pt idx="2">
                  <c:v>75.400000000000006</c:v>
                </c:pt>
                <c:pt idx="3">
                  <c:v>181.9</c:v>
                </c:pt>
                <c:pt idx="4">
                  <c:v>337.1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49-B943-93BB-707DCCC3F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5271056"/>
        <c:axId val="1472723744"/>
      </c:scatterChart>
      <c:valAx>
        <c:axId val="152527105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23744"/>
        <c:crosses val="autoZero"/>
        <c:crossBetween val="midCat"/>
      </c:valAx>
      <c:valAx>
        <c:axId val="147272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527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Kidney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'1,25OH2'!$A$79:$A$83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'1,25OH2'!$B$79:$B$83</c:f>
              <c:numCache>
                <c:formatCode>General</c:formatCode>
                <c:ptCount val="5"/>
                <c:pt idx="0">
                  <c:v>20.100000000000001</c:v>
                </c:pt>
                <c:pt idx="1">
                  <c:v>31.3</c:v>
                </c:pt>
                <c:pt idx="2">
                  <c:v>63</c:v>
                </c:pt>
                <c:pt idx="3">
                  <c:v>145.69999999999999</c:v>
                </c:pt>
                <c:pt idx="4">
                  <c:v>297.10000000000002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AB-5149-A1A4-27C5247CC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4736032"/>
        <c:axId val="1520391344"/>
      </c:scatterChart>
      <c:valAx>
        <c:axId val="152473603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0391344"/>
        <c:crosses val="autoZero"/>
        <c:crossBetween val="midCat"/>
      </c:valAx>
      <c:valAx>
        <c:axId val="152039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4736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Brain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'1,25OH2'!$A$96:$A$100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'1,25OH2'!$B$96:$B$100</c:f>
              <c:numCache>
                <c:formatCode>General</c:formatCode>
                <c:ptCount val="5"/>
                <c:pt idx="0">
                  <c:v>13.7</c:v>
                </c:pt>
                <c:pt idx="1">
                  <c:v>34.200000000000003</c:v>
                </c:pt>
                <c:pt idx="2">
                  <c:v>60.3</c:v>
                </c:pt>
                <c:pt idx="3">
                  <c:v>168.2</c:v>
                </c:pt>
                <c:pt idx="4">
                  <c:v>321.3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2B-FE4C-B44C-F81401A5B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558528"/>
        <c:axId val="1515499456"/>
      </c:scatterChart>
      <c:valAx>
        <c:axId val="151955852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5499456"/>
        <c:crosses val="autoZero"/>
        <c:crossBetween val="midCat"/>
      </c:valAx>
      <c:valAx>
        <c:axId val="151549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9558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Liver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'1,25OH2'!$A$113:$A$117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'1,25OH2'!$B$113:$B$117</c:f>
              <c:numCache>
                <c:formatCode>General</c:formatCode>
                <c:ptCount val="5"/>
                <c:pt idx="0">
                  <c:v>22.3</c:v>
                </c:pt>
                <c:pt idx="1">
                  <c:v>41.5</c:v>
                </c:pt>
                <c:pt idx="2">
                  <c:v>70.099999999999994</c:v>
                </c:pt>
                <c:pt idx="3">
                  <c:v>175.3</c:v>
                </c:pt>
                <c:pt idx="4">
                  <c:v>340.8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67-E349-98F8-9EC9A06F0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021936"/>
        <c:axId val="1535612960"/>
      </c:scatterChart>
      <c:valAx>
        <c:axId val="151102193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612960"/>
        <c:crosses val="autoZero"/>
        <c:crossBetween val="midCat"/>
      </c:valAx>
      <c:valAx>
        <c:axId val="153561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021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Brain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'1,25OH2'!$N$97:$N$101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'1,25OH2'!$O$97:$O$101</c:f>
              <c:numCache>
                <c:formatCode>General</c:formatCode>
                <c:ptCount val="5"/>
                <c:pt idx="0">
                  <c:v>68</c:v>
                </c:pt>
                <c:pt idx="1">
                  <c:v>91.9</c:v>
                </c:pt>
                <c:pt idx="2">
                  <c:v>120.6</c:v>
                </c:pt>
                <c:pt idx="3">
                  <c:v>234.4</c:v>
                </c:pt>
                <c:pt idx="4">
                  <c:v>404.8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5B-7D48-AF90-ADB42F3AC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291824"/>
        <c:axId val="715959392"/>
      </c:scatterChart>
      <c:valAx>
        <c:axId val="71629182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959392"/>
        <c:crosses val="autoZero"/>
        <c:crossBetween val="midCat"/>
      </c:valAx>
      <c:valAx>
        <c:axId val="71595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6291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Spleen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VitD3!$A$47:$A$51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VitD3!$C$47:$C$51</c:f>
              <c:numCache>
                <c:formatCode>General</c:formatCode>
                <c:ptCount val="5"/>
                <c:pt idx="0">
                  <c:v>27.3</c:v>
                </c:pt>
                <c:pt idx="1">
                  <c:v>54.2</c:v>
                </c:pt>
                <c:pt idx="2">
                  <c:v>95</c:v>
                </c:pt>
                <c:pt idx="3">
                  <c:v>225.2</c:v>
                </c:pt>
                <c:pt idx="4">
                  <c:v>409.2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9C-AD4A-9418-B58615EFC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5867168"/>
        <c:axId val="1499266336"/>
      </c:scatterChart>
      <c:valAx>
        <c:axId val="150586716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9266336"/>
        <c:crosses val="autoZero"/>
        <c:crossBetween val="midCat"/>
      </c:valAx>
      <c:valAx>
        <c:axId val="149926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5867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VitD3!$A$63:$A$67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VitD3!$C$63:$C$67</c:f>
              <c:numCache>
                <c:formatCode>General</c:formatCode>
                <c:ptCount val="5"/>
                <c:pt idx="0">
                  <c:v>32.700000000000003</c:v>
                </c:pt>
                <c:pt idx="1">
                  <c:v>40.5</c:v>
                </c:pt>
                <c:pt idx="2">
                  <c:v>80.900000000000006</c:v>
                </c:pt>
                <c:pt idx="3">
                  <c:v>179.2</c:v>
                </c:pt>
                <c:pt idx="4">
                  <c:v>344.4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5F-9247-8312-82BDD4F1C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5271056"/>
        <c:axId val="1472723744"/>
      </c:scatterChart>
      <c:valAx>
        <c:axId val="152527105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23744"/>
        <c:crosses val="autoZero"/>
        <c:crossBetween val="midCat"/>
      </c:valAx>
      <c:valAx>
        <c:axId val="147272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527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Kidney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VitD3!$A$79:$A$83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VitD3!$C$79:$C$83</c:f>
              <c:numCache>
                <c:formatCode>General</c:formatCode>
                <c:ptCount val="5"/>
                <c:pt idx="0">
                  <c:v>17</c:v>
                </c:pt>
                <c:pt idx="1">
                  <c:v>28.5</c:v>
                </c:pt>
                <c:pt idx="2">
                  <c:v>49.3</c:v>
                </c:pt>
                <c:pt idx="3">
                  <c:v>138.80000000000001</c:v>
                </c:pt>
                <c:pt idx="4">
                  <c:v>296.7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A4-7544-8BC0-E79962FD62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4736032"/>
        <c:axId val="1520391344"/>
      </c:scatterChart>
      <c:valAx>
        <c:axId val="152473603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0391344"/>
        <c:crosses val="autoZero"/>
        <c:crossBetween val="midCat"/>
      </c:valAx>
      <c:valAx>
        <c:axId val="152039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4736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Brain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VitD3!$A$96:$A$100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VitD3!$C$96:$C$100</c:f>
              <c:numCache>
                <c:formatCode>General</c:formatCode>
                <c:ptCount val="5"/>
                <c:pt idx="0">
                  <c:v>80.2</c:v>
                </c:pt>
                <c:pt idx="1">
                  <c:v>97.3</c:v>
                </c:pt>
                <c:pt idx="2">
                  <c:v>127.4</c:v>
                </c:pt>
                <c:pt idx="3">
                  <c:v>249.5</c:v>
                </c:pt>
                <c:pt idx="4">
                  <c:v>432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66-9A4F-A00C-9622D9BF7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558528"/>
        <c:axId val="1515499456"/>
      </c:scatterChart>
      <c:valAx>
        <c:axId val="151955852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5499456"/>
        <c:crosses val="autoZero"/>
        <c:crossBetween val="midCat"/>
      </c:valAx>
      <c:valAx>
        <c:axId val="151549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9558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Liver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VitD3!$A$113:$A$117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VitD3!$C$113:$C$117</c:f>
              <c:numCache>
                <c:formatCode>General</c:formatCode>
                <c:ptCount val="5"/>
                <c:pt idx="0">
                  <c:v>25.8</c:v>
                </c:pt>
                <c:pt idx="1">
                  <c:v>45.3</c:v>
                </c:pt>
                <c:pt idx="2">
                  <c:v>81.5</c:v>
                </c:pt>
                <c:pt idx="3">
                  <c:v>169.4</c:v>
                </c:pt>
                <c:pt idx="4">
                  <c:v>345.3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60-8D41-8179-6C97C98B4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021936"/>
        <c:axId val="1535612960"/>
      </c:scatterChart>
      <c:valAx>
        <c:axId val="151102193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612960"/>
        <c:crosses val="autoZero"/>
        <c:crossBetween val="midCat"/>
      </c:valAx>
      <c:valAx>
        <c:axId val="153561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021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Brain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VitD3!$O$97:$O$101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VitD3!$P$97:$P$101</c:f>
              <c:numCache>
                <c:formatCode>General</c:formatCode>
                <c:ptCount val="5"/>
                <c:pt idx="0">
                  <c:v>68</c:v>
                </c:pt>
                <c:pt idx="1">
                  <c:v>91.9</c:v>
                </c:pt>
                <c:pt idx="2">
                  <c:v>120.6</c:v>
                </c:pt>
                <c:pt idx="3">
                  <c:v>234.4</c:v>
                </c:pt>
                <c:pt idx="4">
                  <c:v>404.8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4B-3344-9075-0A9060EFD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291824"/>
        <c:axId val="715959392"/>
      </c:scatterChart>
      <c:valAx>
        <c:axId val="71629182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959392"/>
        <c:crosses val="autoZero"/>
        <c:crossBetween val="midCat"/>
      </c:valAx>
      <c:valAx>
        <c:axId val="71595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6291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Plasma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'25OH'!$A$30:$A$34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'25OH'!$B$30:$B$34</c:f>
              <c:numCache>
                <c:formatCode>General</c:formatCode>
                <c:ptCount val="5"/>
                <c:pt idx="0">
                  <c:v>25.5</c:v>
                </c:pt>
                <c:pt idx="1">
                  <c:v>42.4</c:v>
                </c:pt>
                <c:pt idx="2">
                  <c:v>65.099999999999994</c:v>
                </c:pt>
                <c:pt idx="3">
                  <c:v>168.5</c:v>
                </c:pt>
                <c:pt idx="4">
                  <c:v>328.3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CD-CD4B-9F5D-62E625223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2891648"/>
        <c:axId val="1517825264"/>
      </c:scatterChart>
      <c:valAx>
        <c:axId val="151289164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7825264"/>
        <c:crosses val="autoZero"/>
        <c:crossBetween val="midCat"/>
      </c:valAx>
      <c:valAx>
        <c:axId val="151782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2891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805616</xdr:colOff>
      <xdr:row>11</xdr:row>
      <xdr:rowOff>39511</xdr:rowOff>
    </xdr:from>
    <xdr:to>
      <xdr:col>11</xdr:col>
      <xdr:colOff>451555</xdr:colOff>
      <xdr:row>24</xdr:row>
      <xdr:rowOff>114428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981673-AA7B-BD47-BE8F-378E0EB251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</xdr:colOff>
      <xdr:row>27</xdr:row>
      <xdr:rowOff>46568</xdr:rowOff>
    </xdr:from>
    <xdr:to>
      <xdr:col>11</xdr:col>
      <xdr:colOff>409224</xdr:colOff>
      <xdr:row>40</xdr:row>
      <xdr:rowOff>141113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02571BF-4E3A-1A4D-BBA6-ED000AA407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42334</xdr:colOff>
      <xdr:row>45</xdr:row>
      <xdr:rowOff>74790</xdr:rowOff>
    </xdr:from>
    <xdr:to>
      <xdr:col>10</xdr:col>
      <xdr:colOff>451556</xdr:colOff>
      <xdr:row>59</xdr:row>
      <xdr:rowOff>52212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C461EDF-90F8-9346-ACCB-773E572E9E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28223</xdr:colOff>
      <xdr:row>61</xdr:row>
      <xdr:rowOff>18345</xdr:rowOff>
    </xdr:from>
    <xdr:to>
      <xdr:col>10</xdr:col>
      <xdr:colOff>437445</xdr:colOff>
      <xdr:row>74</xdr:row>
      <xdr:rowOff>193323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D53C636-CF00-1647-BE3E-AA1E2DF9E3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776112</xdr:colOff>
      <xdr:row>76</xdr:row>
      <xdr:rowOff>187678</xdr:rowOff>
    </xdr:from>
    <xdr:to>
      <xdr:col>10</xdr:col>
      <xdr:colOff>649111</xdr:colOff>
      <xdr:row>92</xdr:row>
      <xdr:rowOff>112889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74B222D-C7C4-7B48-9729-D1D2D3B828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0</xdr:colOff>
      <xdr:row>94</xdr:row>
      <xdr:rowOff>74789</xdr:rowOff>
    </xdr:from>
    <xdr:to>
      <xdr:col>10</xdr:col>
      <xdr:colOff>409222</xdr:colOff>
      <xdr:row>108</xdr:row>
      <xdr:rowOff>52211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66FCF83-A59E-A34C-88D1-C4FED8DDDE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0</xdr:colOff>
      <xdr:row>111</xdr:row>
      <xdr:rowOff>60678</xdr:rowOff>
    </xdr:from>
    <xdr:to>
      <xdr:col>10</xdr:col>
      <xdr:colOff>409222</xdr:colOff>
      <xdr:row>125</xdr:row>
      <xdr:rowOff>38101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20BCF8C-AFC2-7346-9F32-57A675D9E2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797279</xdr:colOff>
      <xdr:row>93</xdr:row>
      <xdr:rowOff>173566</xdr:rowOff>
    </xdr:from>
    <xdr:to>
      <xdr:col>22</xdr:col>
      <xdr:colOff>373946</xdr:colOff>
      <xdr:row>107</xdr:row>
      <xdr:rowOff>150989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3D801BE-611E-5441-BEED-1298A7144C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</xdr:colOff>
      <xdr:row>28</xdr:row>
      <xdr:rowOff>4234</xdr:rowOff>
    </xdr:from>
    <xdr:to>
      <xdr:col>9</xdr:col>
      <xdr:colOff>409224</xdr:colOff>
      <xdr:row>41</xdr:row>
      <xdr:rowOff>98779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E6617EA-9439-7346-BA34-74C8A512B7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42334</xdr:colOff>
      <xdr:row>45</xdr:row>
      <xdr:rowOff>74790</xdr:rowOff>
    </xdr:from>
    <xdr:to>
      <xdr:col>9</xdr:col>
      <xdr:colOff>451556</xdr:colOff>
      <xdr:row>59</xdr:row>
      <xdr:rowOff>52212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224B6EC-7DE9-024A-8C24-126114E919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28223</xdr:colOff>
      <xdr:row>61</xdr:row>
      <xdr:rowOff>18345</xdr:rowOff>
    </xdr:from>
    <xdr:to>
      <xdr:col>9</xdr:col>
      <xdr:colOff>437445</xdr:colOff>
      <xdr:row>74</xdr:row>
      <xdr:rowOff>193323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5C014BF-A14C-C049-9491-78CC10C31E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776112</xdr:colOff>
      <xdr:row>76</xdr:row>
      <xdr:rowOff>187678</xdr:rowOff>
    </xdr:from>
    <xdr:to>
      <xdr:col>9</xdr:col>
      <xdr:colOff>649111</xdr:colOff>
      <xdr:row>92</xdr:row>
      <xdr:rowOff>112889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D163BD0-45EE-F445-A013-D9F51980AE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94</xdr:row>
      <xdr:rowOff>74789</xdr:rowOff>
    </xdr:from>
    <xdr:to>
      <xdr:col>9</xdr:col>
      <xdr:colOff>409222</xdr:colOff>
      <xdr:row>108</xdr:row>
      <xdr:rowOff>52211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51E735A-F4A2-614D-A031-D9B7A03F9F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0</xdr:colOff>
      <xdr:row>111</xdr:row>
      <xdr:rowOff>60678</xdr:rowOff>
    </xdr:from>
    <xdr:to>
      <xdr:col>9</xdr:col>
      <xdr:colOff>409222</xdr:colOff>
      <xdr:row>125</xdr:row>
      <xdr:rowOff>38101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E5DF9DC-9E89-7A46-BB5F-078E1049F3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797279</xdr:colOff>
      <xdr:row>93</xdr:row>
      <xdr:rowOff>173566</xdr:rowOff>
    </xdr:from>
    <xdr:to>
      <xdr:col>21</xdr:col>
      <xdr:colOff>373946</xdr:colOff>
      <xdr:row>107</xdr:row>
      <xdr:rowOff>150989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D027BF1-5A0F-EB46-A1F6-6C210D6F85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446639</xdr:colOff>
      <xdr:row>9</xdr:row>
      <xdr:rowOff>26826</xdr:rowOff>
    </xdr:from>
    <xdr:to>
      <xdr:col>11</xdr:col>
      <xdr:colOff>52797</xdr:colOff>
      <xdr:row>22</xdr:row>
      <xdr:rowOff>172948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15A1CC1-AF92-CC4C-2D5D-F120EAD496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805616</xdr:colOff>
      <xdr:row>11</xdr:row>
      <xdr:rowOff>39511</xdr:rowOff>
    </xdr:from>
    <xdr:to>
      <xdr:col>10</xdr:col>
      <xdr:colOff>451555</xdr:colOff>
      <xdr:row>24</xdr:row>
      <xdr:rowOff>114428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1F9293-7A96-A64E-9986-B500B5BFC3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</xdr:colOff>
      <xdr:row>28</xdr:row>
      <xdr:rowOff>4234</xdr:rowOff>
    </xdr:from>
    <xdr:to>
      <xdr:col>9</xdr:col>
      <xdr:colOff>409224</xdr:colOff>
      <xdr:row>41</xdr:row>
      <xdr:rowOff>98779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2ACA9C4-D294-3240-8BAA-C69F7B41F5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42334</xdr:colOff>
      <xdr:row>45</xdr:row>
      <xdr:rowOff>74790</xdr:rowOff>
    </xdr:from>
    <xdr:to>
      <xdr:col>9</xdr:col>
      <xdr:colOff>451556</xdr:colOff>
      <xdr:row>59</xdr:row>
      <xdr:rowOff>52212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79F3C7E-2DEA-1D41-BE1D-36D3E83A27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28223</xdr:colOff>
      <xdr:row>61</xdr:row>
      <xdr:rowOff>18345</xdr:rowOff>
    </xdr:from>
    <xdr:to>
      <xdr:col>9</xdr:col>
      <xdr:colOff>437445</xdr:colOff>
      <xdr:row>74</xdr:row>
      <xdr:rowOff>193323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0148E20-6C23-7545-9436-5182256192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776112</xdr:colOff>
      <xdr:row>76</xdr:row>
      <xdr:rowOff>187678</xdr:rowOff>
    </xdr:from>
    <xdr:to>
      <xdr:col>9</xdr:col>
      <xdr:colOff>649111</xdr:colOff>
      <xdr:row>92</xdr:row>
      <xdr:rowOff>112889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39E2E95-A853-0746-8093-614DF8E5CE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0</xdr:colOff>
      <xdr:row>94</xdr:row>
      <xdr:rowOff>74789</xdr:rowOff>
    </xdr:from>
    <xdr:to>
      <xdr:col>9</xdr:col>
      <xdr:colOff>409222</xdr:colOff>
      <xdr:row>108</xdr:row>
      <xdr:rowOff>52211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4D47979-5683-6B48-B6DA-89412513DA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111</xdr:row>
      <xdr:rowOff>60678</xdr:rowOff>
    </xdr:from>
    <xdr:to>
      <xdr:col>9</xdr:col>
      <xdr:colOff>409222</xdr:colOff>
      <xdr:row>125</xdr:row>
      <xdr:rowOff>38101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6F9B355-CD49-3A4B-A6C4-6E68290CED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797279</xdr:colOff>
      <xdr:row>93</xdr:row>
      <xdr:rowOff>173566</xdr:rowOff>
    </xdr:from>
    <xdr:to>
      <xdr:col>21</xdr:col>
      <xdr:colOff>373946</xdr:colOff>
      <xdr:row>107</xdr:row>
      <xdr:rowOff>150989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9A0331A-C19F-014C-8865-55B953EBE5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69C9B-4F0B-474F-A5CB-7A875918D932}">
  <dimension ref="A1:AB121"/>
  <sheetViews>
    <sheetView topLeftCell="A48" zoomScale="86" zoomScaleNormal="86" workbookViewId="0">
      <selection activeCell="D63" sqref="D63:D67"/>
    </sheetView>
  </sheetViews>
  <sheetFormatPr baseColWidth="10" defaultRowHeight="16" x14ac:dyDescent="0.2"/>
  <cols>
    <col min="1" max="2" width="18.83203125" customWidth="1"/>
    <col min="3" max="3" width="15.83203125" customWidth="1"/>
    <col min="28" max="28" width="16.1640625" customWidth="1"/>
  </cols>
  <sheetData>
    <row r="1" spans="1:28" x14ac:dyDescent="0.2">
      <c r="A1" s="2" t="s">
        <v>1</v>
      </c>
      <c r="B1" s="2"/>
      <c r="O1" s="2"/>
      <c r="AB1" s="3"/>
    </row>
    <row r="2" spans="1:28" x14ac:dyDescent="0.2">
      <c r="A2" s="3" t="s">
        <v>2</v>
      </c>
      <c r="B2" s="3"/>
      <c r="O2" s="3"/>
    </row>
    <row r="3" spans="1:28" x14ac:dyDescent="0.2">
      <c r="A3" t="s">
        <v>3</v>
      </c>
      <c r="C3" t="s">
        <v>40</v>
      </c>
    </row>
    <row r="4" spans="1:28" x14ac:dyDescent="0.2">
      <c r="A4" t="s">
        <v>4</v>
      </c>
      <c r="C4" t="s">
        <v>21</v>
      </c>
    </row>
    <row r="5" spans="1:28" x14ac:dyDescent="0.2">
      <c r="A5" t="s">
        <v>5</v>
      </c>
      <c r="C5" t="s">
        <v>12</v>
      </c>
    </row>
    <row r="6" spans="1:28" x14ac:dyDescent="0.2">
      <c r="A6" t="s">
        <v>6</v>
      </c>
      <c r="C6" t="s">
        <v>7</v>
      </c>
    </row>
    <row r="7" spans="1:28" x14ac:dyDescent="0.2">
      <c r="A7" t="s">
        <v>8</v>
      </c>
      <c r="C7" t="s">
        <v>9</v>
      </c>
    </row>
    <row r="8" spans="1:28" x14ac:dyDescent="0.2">
      <c r="A8" t="s">
        <v>10</v>
      </c>
      <c r="C8" t="s">
        <v>45</v>
      </c>
    </row>
    <row r="9" spans="1:28" x14ac:dyDescent="0.2">
      <c r="A9" t="s">
        <v>11</v>
      </c>
      <c r="C9" t="s">
        <v>13</v>
      </c>
    </row>
    <row r="12" spans="1:28" x14ac:dyDescent="0.2">
      <c r="A12" t="s">
        <v>23</v>
      </c>
      <c r="D12">
        <v>13.9</v>
      </c>
      <c r="E12" t="s">
        <v>25</v>
      </c>
      <c r="F12">
        <f>STDEV(D12:D14)*10/289.05</f>
        <v>1.3981843571449184E-2</v>
      </c>
    </row>
    <row r="13" spans="1:28" x14ac:dyDescent="0.2">
      <c r="A13" t="s">
        <v>22</v>
      </c>
      <c r="C13" t="s">
        <v>0</v>
      </c>
      <c r="D13">
        <v>13.2</v>
      </c>
    </row>
    <row r="14" spans="1:28" x14ac:dyDescent="0.2">
      <c r="A14">
        <v>0.05</v>
      </c>
      <c r="C14">
        <f>AVERAGE(D12:D14)</f>
        <v>13.666666666666666</v>
      </c>
      <c r="D14">
        <v>13.9</v>
      </c>
    </row>
    <row r="15" spans="1:28" x14ac:dyDescent="0.2">
      <c r="A15">
        <v>0.1</v>
      </c>
      <c r="C15">
        <v>29.3</v>
      </c>
    </row>
    <row r="16" spans="1:28" x14ac:dyDescent="0.2">
      <c r="A16">
        <v>0.2</v>
      </c>
      <c r="C16">
        <v>60</v>
      </c>
    </row>
    <row r="17" spans="1:4" x14ac:dyDescent="0.2">
      <c r="A17">
        <v>0.5</v>
      </c>
      <c r="C17">
        <v>143.6</v>
      </c>
    </row>
    <row r="18" spans="1:4" x14ac:dyDescent="0.2">
      <c r="A18">
        <v>1</v>
      </c>
      <c r="C18">
        <v>289.60000000000002</v>
      </c>
    </row>
    <row r="28" spans="1:4" x14ac:dyDescent="0.2">
      <c r="A28" s="3" t="s">
        <v>14</v>
      </c>
      <c r="B28" s="3"/>
      <c r="C28" t="s">
        <v>26</v>
      </c>
    </row>
    <row r="29" spans="1:4" x14ac:dyDescent="0.2">
      <c r="A29" t="s">
        <v>24</v>
      </c>
      <c r="B29" t="s">
        <v>44</v>
      </c>
      <c r="C29" t="s">
        <v>0</v>
      </c>
      <c r="D29" t="s">
        <v>20</v>
      </c>
    </row>
    <row r="30" spans="1:4" x14ac:dyDescent="0.2">
      <c r="A30">
        <v>0.05</v>
      </c>
      <c r="B30">
        <f>A30/384.64*1000</f>
        <v>0.12999168053244595</v>
      </c>
      <c r="C30">
        <v>24.4</v>
      </c>
      <c r="D30">
        <f>(C30-10.41)*150/200/C14</f>
        <v>0.76774390243902424</v>
      </c>
    </row>
    <row r="31" spans="1:4" x14ac:dyDescent="0.2">
      <c r="A31">
        <v>0.1</v>
      </c>
      <c r="B31">
        <f t="shared" ref="B31:B34" si="0">A31/384.64*1000</f>
        <v>0.25998336106489189</v>
      </c>
      <c r="C31">
        <v>44.8</v>
      </c>
      <c r="D31">
        <f t="shared" ref="D31:D34" si="1">(C31-10.41)*150/200/C15</f>
        <v>0.88029010238907845</v>
      </c>
    </row>
    <row r="32" spans="1:4" x14ac:dyDescent="0.2">
      <c r="A32">
        <v>0.2</v>
      </c>
      <c r="B32">
        <f t="shared" si="0"/>
        <v>0.51996672212978379</v>
      </c>
      <c r="C32">
        <v>75.400000000000006</v>
      </c>
      <c r="D32">
        <f t="shared" si="1"/>
        <v>0.81237500000000007</v>
      </c>
    </row>
    <row r="33" spans="1:4" x14ac:dyDescent="0.2">
      <c r="A33">
        <v>0.5</v>
      </c>
      <c r="B33">
        <f t="shared" si="0"/>
        <v>1.2999168053244594</v>
      </c>
      <c r="C33">
        <v>192.7</v>
      </c>
      <c r="D33">
        <f t="shared" si="1"/>
        <v>0.9520717270194986</v>
      </c>
    </row>
    <row r="34" spans="1:4" x14ac:dyDescent="0.2">
      <c r="A34">
        <v>1</v>
      </c>
      <c r="B34">
        <f t="shared" si="0"/>
        <v>2.5998336106489188</v>
      </c>
      <c r="C34">
        <v>347.9</v>
      </c>
      <c r="D34">
        <f t="shared" si="1"/>
        <v>0.87402451657458535</v>
      </c>
    </row>
    <row r="36" spans="1:4" x14ac:dyDescent="0.2">
      <c r="D36">
        <f>AVERAGE(D30:D34)</f>
        <v>0.85730104968443732</v>
      </c>
    </row>
    <row r="37" spans="1:4" x14ac:dyDescent="0.2">
      <c r="A37" t="s">
        <v>31</v>
      </c>
      <c r="D37">
        <f>STDEV(D30:D34)</f>
        <v>7.0406826257498056E-2</v>
      </c>
    </row>
    <row r="39" spans="1:4" x14ac:dyDescent="0.2">
      <c r="A39" t="s">
        <v>41</v>
      </c>
      <c r="C39">
        <f>10.41/342.24/384.64*1000</f>
        <v>7.907979162825865E-2</v>
      </c>
    </row>
    <row r="45" spans="1:4" x14ac:dyDescent="0.2">
      <c r="A45" s="3" t="s">
        <v>16</v>
      </c>
      <c r="B45" s="3"/>
      <c r="C45" t="s">
        <v>27</v>
      </c>
    </row>
    <row r="46" spans="1:4" x14ac:dyDescent="0.2">
      <c r="A46" t="s">
        <v>24</v>
      </c>
      <c r="C46" t="s">
        <v>0</v>
      </c>
      <c r="D46" t="s">
        <v>20</v>
      </c>
    </row>
    <row r="47" spans="1:4" x14ac:dyDescent="0.2">
      <c r="A47">
        <v>0.05</v>
      </c>
      <c r="C47">
        <v>27.3</v>
      </c>
      <c r="D47">
        <f>(C47-13.969)*150/200/C14</f>
        <v>0.73157926829268305</v>
      </c>
    </row>
    <row r="48" spans="1:4" x14ac:dyDescent="0.2">
      <c r="A48">
        <v>0.1</v>
      </c>
      <c r="C48">
        <v>54.2</v>
      </c>
      <c r="D48">
        <f t="shared" ref="D48:D51" si="2">(C48-13.969)*150/200/C15</f>
        <v>1.0298037542662117</v>
      </c>
    </row>
    <row r="49" spans="1:16" x14ac:dyDescent="0.2">
      <c r="A49">
        <v>0.2</v>
      </c>
      <c r="C49">
        <v>95</v>
      </c>
      <c r="D49">
        <f t="shared" si="2"/>
        <v>1.0128875000000002</v>
      </c>
    </row>
    <row r="50" spans="1:16" x14ac:dyDescent="0.2">
      <c r="A50">
        <v>0.5</v>
      </c>
      <c r="C50">
        <v>225.2</v>
      </c>
      <c r="D50">
        <f t="shared" si="2"/>
        <v>1.1032259749303621</v>
      </c>
    </row>
    <row r="51" spans="1:16" x14ac:dyDescent="0.2">
      <c r="A51">
        <v>1</v>
      </c>
      <c r="C51">
        <v>409.2</v>
      </c>
      <c r="D51">
        <f t="shared" si="2"/>
        <v>1.0235609461325965</v>
      </c>
      <c r="O51" s="1"/>
      <c r="P51" s="1"/>
    </row>
    <row r="52" spans="1:16" x14ac:dyDescent="0.2">
      <c r="O52" s="1"/>
      <c r="P52" s="1"/>
    </row>
    <row r="53" spans="1:16" x14ac:dyDescent="0.2">
      <c r="D53">
        <f>AVERAGE(D47:D51)</f>
        <v>0.98021148872437069</v>
      </c>
      <c r="O53" s="1"/>
      <c r="P53" s="1"/>
    </row>
    <row r="54" spans="1:16" x14ac:dyDescent="0.2">
      <c r="A54" t="s">
        <v>32</v>
      </c>
      <c r="D54">
        <f>STDEV(D47:D51)</f>
        <v>0.14348940276668579</v>
      </c>
      <c r="O54" s="1"/>
      <c r="P54" s="1"/>
    </row>
    <row r="55" spans="1:16" x14ac:dyDescent="0.2">
      <c r="O55" s="1"/>
      <c r="P55" s="1"/>
    </row>
    <row r="56" spans="1:16" x14ac:dyDescent="0.2">
      <c r="A56" t="s">
        <v>42</v>
      </c>
      <c r="C56">
        <f>13.969/400.57*390/90/384.64*1000</f>
        <v>0.39287513975336125</v>
      </c>
      <c r="O56" s="1"/>
      <c r="P56" s="1"/>
    </row>
    <row r="57" spans="1:16" x14ac:dyDescent="0.2">
      <c r="O57" s="1"/>
      <c r="P57" s="1"/>
    </row>
    <row r="58" spans="1:16" x14ac:dyDescent="0.2">
      <c r="O58" s="1"/>
      <c r="P58" s="1"/>
    </row>
    <row r="59" spans="1:16" x14ac:dyDescent="0.2">
      <c r="O59" s="1"/>
      <c r="P59" s="1"/>
    </row>
    <row r="60" spans="1:16" x14ac:dyDescent="0.2">
      <c r="P60" s="1"/>
    </row>
    <row r="61" spans="1:16" x14ac:dyDescent="0.2">
      <c r="A61" s="3" t="s">
        <v>18</v>
      </c>
      <c r="B61" s="3"/>
      <c r="C61" s="1" t="s">
        <v>28</v>
      </c>
      <c r="P61" s="1"/>
    </row>
    <row r="62" spans="1:16" x14ac:dyDescent="0.2">
      <c r="A62" s="1" t="s">
        <v>24</v>
      </c>
      <c r="B62" s="1"/>
      <c r="C62" s="1" t="s">
        <v>0</v>
      </c>
      <c r="D62" s="1" t="s">
        <v>20</v>
      </c>
      <c r="P62" s="1"/>
    </row>
    <row r="63" spans="1:16" x14ac:dyDescent="0.2">
      <c r="A63">
        <v>0.05</v>
      </c>
      <c r="C63" s="1">
        <v>32.700000000000003</v>
      </c>
      <c r="D63" s="1">
        <f>(C63-12.736)*150/200/C14</f>
        <v>1.0955853658536587</v>
      </c>
      <c r="P63" s="1"/>
    </row>
    <row r="64" spans="1:16" x14ac:dyDescent="0.2">
      <c r="A64">
        <v>0.1</v>
      </c>
      <c r="C64" s="1">
        <v>40.5</v>
      </c>
      <c r="D64" s="1">
        <f t="shared" ref="D64:D67" si="3">(C64-12.736)*150/200/C15</f>
        <v>0.71068259385665522</v>
      </c>
      <c r="P64" s="1"/>
    </row>
    <row r="65" spans="1:16" x14ac:dyDescent="0.2">
      <c r="A65">
        <v>0.2</v>
      </c>
      <c r="C65" s="1">
        <v>80.900000000000006</v>
      </c>
      <c r="D65" s="1">
        <f t="shared" si="3"/>
        <v>0.85205000000000009</v>
      </c>
    </row>
    <row r="66" spans="1:16" x14ac:dyDescent="0.2">
      <c r="A66">
        <v>0.5</v>
      </c>
      <c r="C66" s="1">
        <v>179.2</v>
      </c>
      <c r="D66" s="1">
        <f t="shared" si="3"/>
        <v>0.86941504178272988</v>
      </c>
    </row>
    <row r="67" spans="1:16" x14ac:dyDescent="0.2">
      <c r="A67">
        <v>1</v>
      </c>
      <c r="C67" s="1">
        <v>344.4</v>
      </c>
      <c r="D67" s="1">
        <f t="shared" si="3"/>
        <v>0.85893646408839774</v>
      </c>
    </row>
    <row r="68" spans="1:16" x14ac:dyDescent="0.2">
      <c r="O68" s="1"/>
      <c r="P68" s="1"/>
    </row>
    <row r="69" spans="1:16" x14ac:dyDescent="0.2">
      <c r="D69">
        <f>AVERAGE(D63:D67)</f>
        <v>0.87733389311628829</v>
      </c>
      <c r="O69" s="1"/>
      <c r="P69" s="1"/>
    </row>
    <row r="70" spans="1:16" x14ac:dyDescent="0.2">
      <c r="A70" t="s">
        <v>33</v>
      </c>
      <c r="D70">
        <f>STDEV(D63:D67)</f>
        <v>0.13824508106018679</v>
      </c>
      <c r="O70" s="1"/>
      <c r="P70" s="1"/>
    </row>
    <row r="71" spans="1:16" x14ac:dyDescent="0.2">
      <c r="O71" s="1"/>
      <c r="P71" s="1"/>
    </row>
    <row r="72" spans="1:16" x14ac:dyDescent="0.2">
      <c r="A72" t="s">
        <v>42</v>
      </c>
      <c r="C72">
        <f>12.736/331.9*635/135/384.64*1000</f>
        <v>0.46925759319334559</v>
      </c>
      <c r="O72" s="1"/>
      <c r="P72" s="1"/>
    </row>
    <row r="73" spans="1:16" x14ac:dyDescent="0.2">
      <c r="O73" s="1"/>
      <c r="P73" s="1"/>
    </row>
    <row r="74" spans="1:16" x14ac:dyDescent="0.2">
      <c r="O74" s="1"/>
      <c r="P74" s="1"/>
    </row>
    <row r="75" spans="1:16" x14ac:dyDescent="0.2">
      <c r="O75" s="1"/>
      <c r="P75" s="1"/>
    </row>
    <row r="76" spans="1:16" x14ac:dyDescent="0.2">
      <c r="P76" s="1"/>
    </row>
    <row r="77" spans="1:16" x14ac:dyDescent="0.2">
      <c r="A77" s="3" t="s">
        <v>19</v>
      </c>
      <c r="B77" s="3"/>
      <c r="C77" t="s">
        <v>29</v>
      </c>
    </row>
    <row r="78" spans="1:16" x14ac:dyDescent="0.2">
      <c r="A78" s="1" t="s">
        <v>24</v>
      </c>
      <c r="B78" s="1"/>
      <c r="C78" s="1" t="s">
        <v>0</v>
      </c>
      <c r="D78" s="1" t="s">
        <v>20</v>
      </c>
    </row>
    <row r="79" spans="1:16" x14ac:dyDescent="0.2">
      <c r="A79">
        <v>0.05</v>
      </c>
      <c r="C79" s="1">
        <v>17</v>
      </c>
      <c r="D79" s="1">
        <f>(C79+3.7719)*150/200/C14</f>
        <v>1.1399213414634146</v>
      </c>
    </row>
    <row r="80" spans="1:16" x14ac:dyDescent="0.2">
      <c r="A80">
        <v>0.1</v>
      </c>
      <c r="C80" s="1">
        <v>28.5</v>
      </c>
      <c r="D80" s="1">
        <f t="shared" ref="D80:D83" si="4">(C80+3.7719)*150/200/C15</f>
        <v>0.82607252559726974</v>
      </c>
    </row>
    <row r="81" spans="1:16" x14ac:dyDescent="0.2">
      <c r="A81">
        <v>0.2</v>
      </c>
      <c r="C81" s="1">
        <v>49.3</v>
      </c>
      <c r="D81" s="1">
        <f t="shared" si="4"/>
        <v>0.66339875000000004</v>
      </c>
    </row>
    <row r="82" spans="1:16" x14ac:dyDescent="0.2">
      <c r="A82">
        <v>0.5</v>
      </c>
      <c r="C82" s="1">
        <v>138.80000000000001</v>
      </c>
      <c r="D82" s="1">
        <f t="shared" si="4"/>
        <v>0.74463039693593314</v>
      </c>
    </row>
    <row r="83" spans="1:16" x14ac:dyDescent="0.2">
      <c r="A83">
        <v>1</v>
      </c>
      <c r="C83" s="1">
        <v>296.7</v>
      </c>
      <c r="D83" s="1">
        <f t="shared" si="4"/>
        <v>0.77815581837016568</v>
      </c>
    </row>
    <row r="85" spans="1:16" x14ac:dyDescent="0.2">
      <c r="D85">
        <f>AVERAGE(D79:D83)</f>
        <v>0.8304357664733566</v>
      </c>
    </row>
    <row r="86" spans="1:16" x14ac:dyDescent="0.2">
      <c r="A86" t="s">
        <v>34</v>
      </c>
      <c r="D86">
        <f>STDEV(D79:D83)</f>
        <v>0.18289168808704584</v>
      </c>
      <c r="O86" s="1"/>
      <c r="P86" s="1"/>
    </row>
    <row r="87" spans="1:16" x14ac:dyDescent="0.2">
      <c r="O87" s="1"/>
      <c r="P87" s="1"/>
    </row>
    <row r="88" spans="1:16" x14ac:dyDescent="0.2">
      <c r="A88" t="s">
        <v>42</v>
      </c>
      <c r="C88" t="s">
        <v>43</v>
      </c>
      <c r="O88" s="1"/>
      <c r="P88" s="1"/>
    </row>
    <row r="89" spans="1:16" x14ac:dyDescent="0.2">
      <c r="O89" s="1"/>
      <c r="P89" s="1"/>
    </row>
    <row r="90" spans="1:16" x14ac:dyDescent="0.2">
      <c r="O90" s="1"/>
      <c r="P90" s="1"/>
    </row>
    <row r="91" spans="1:16" x14ac:dyDescent="0.2">
      <c r="O91" s="1"/>
      <c r="P91" s="1"/>
    </row>
    <row r="92" spans="1:16" x14ac:dyDescent="0.2">
      <c r="A92" s="1"/>
      <c r="B92" s="1"/>
      <c r="C92" s="1"/>
      <c r="D92" s="1"/>
      <c r="O92" s="1"/>
      <c r="P92" s="1"/>
    </row>
    <row r="93" spans="1:16" x14ac:dyDescent="0.2">
      <c r="A93" s="1"/>
      <c r="B93" s="1"/>
      <c r="C93" s="1"/>
      <c r="D93" s="1"/>
      <c r="P93" s="1"/>
    </row>
    <row r="94" spans="1:16" x14ac:dyDescent="0.2">
      <c r="A94" s="3" t="s">
        <v>15</v>
      </c>
      <c r="B94" s="3"/>
      <c r="C94" t="s">
        <v>26</v>
      </c>
    </row>
    <row r="95" spans="1:16" x14ac:dyDescent="0.2">
      <c r="A95" s="1" t="s">
        <v>24</v>
      </c>
      <c r="B95" s="1"/>
      <c r="C95" s="1" t="s">
        <v>0</v>
      </c>
      <c r="D95" s="1" t="s">
        <v>20</v>
      </c>
      <c r="O95" s="3" t="s">
        <v>15</v>
      </c>
      <c r="P95" t="s">
        <v>38</v>
      </c>
    </row>
    <row r="96" spans="1:16" x14ac:dyDescent="0.2">
      <c r="A96">
        <v>0.05</v>
      </c>
      <c r="C96" s="1">
        <v>80.2</v>
      </c>
      <c r="D96" s="1">
        <f>(C96-58.978)*150/200/C14</f>
        <v>1.1646219512195124</v>
      </c>
      <c r="O96" s="1" t="s">
        <v>24</v>
      </c>
      <c r="P96" s="1" t="s">
        <v>0</v>
      </c>
    </row>
    <row r="97" spans="1:16" x14ac:dyDescent="0.2">
      <c r="A97">
        <v>0.1</v>
      </c>
      <c r="C97" s="1">
        <v>97.3</v>
      </c>
      <c r="D97" s="1">
        <f t="shared" ref="D97:D100" si="5">(C97-58.978)*150/200/C15</f>
        <v>0.98093856655290079</v>
      </c>
      <c r="O97">
        <v>0.05</v>
      </c>
      <c r="P97" s="1">
        <v>68</v>
      </c>
    </row>
    <row r="98" spans="1:16" x14ac:dyDescent="0.2">
      <c r="A98">
        <v>0.2</v>
      </c>
      <c r="C98" s="1">
        <v>127.4</v>
      </c>
      <c r="D98" s="1">
        <f t="shared" si="5"/>
        <v>0.85527500000000001</v>
      </c>
      <c r="O98">
        <v>0.1</v>
      </c>
      <c r="P98" s="1">
        <v>91.9</v>
      </c>
    </row>
    <row r="99" spans="1:16" x14ac:dyDescent="0.2">
      <c r="A99">
        <v>0.5</v>
      </c>
      <c r="C99" s="1">
        <v>249.5</v>
      </c>
      <c r="D99" s="1">
        <f t="shared" si="5"/>
        <v>0.99506615598885806</v>
      </c>
      <c r="O99">
        <v>0.2</v>
      </c>
      <c r="P99" s="1">
        <v>120.6</v>
      </c>
    </row>
    <row r="100" spans="1:16" x14ac:dyDescent="0.2">
      <c r="A100">
        <v>1</v>
      </c>
      <c r="C100" s="1">
        <v>432</v>
      </c>
      <c r="D100" s="1">
        <f t="shared" si="5"/>
        <v>0.96604454419889474</v>
      </c>
      <c r="O100">
        <v>0.5</v>
      </c>
      <c r="P100" s="1">
        <v>234.4</v>
      </c>
    </row>
    <row r="101" spans="1:16" x14ac:dyDescent="0.2">
      <c r="O101">
        <v>1</v>
      </c>
      <c r="P101" s="1">
        <v>404.8</v>
      </c>
    </row>
    <row r="102" spans="1:16" x14ac:dyDescent="0.2">
      <c r="A102" t="s">
        <v>35</v>
      </c>
      <c r="D102">
        <f>AVERAGE(D96:D100)</f>
        <v>0.99238924359203318</v>
      </c>
    </row>
    <row r="103" spans="1:16" x14ac:dyDescent="0.2">
      <c r="D103">
        <f>STDEV(D96:D100)</f>
        <v>0.11101435540421986</v>
      </c>
      <c r="O103" t="s">
        <v>37</v>
      </c>
      <c r="P103" s="1">
        <v>57.8</v>
      </c>
    </row>
    <row r="104" spans="1:16" x14ac:dyDescent="0.2">
      <c r="A104" t="s">
        <v>42</v>
      </c>
      <c r="C104">
        <f>58.987/373.79*1430/430/384.64*1000</f>
        <v>1.3644001750991093</v>
      </c>
    </row>
    <row r="105" spans="1:16" x14ac:dyDescent="0.2">
      <c r="O105" t="s">
        <v>39</v>
      </c>
    </row>
    <row r="109" spans="1:16" x14ac:dyDescent="0.2">
      <c r="A109" s="1"/>
      <c r="B109" s="1"/>
      <c r="C109" s="1"/>
      <c r="D109" s="1"/>
    </row>
    <row r="110" spans="1:16" x14ac:dyDescent="0.2">
      <c r="A110" s="1"/>
      <c r="B110" s="1"/>
      <c r="C110" s="1"/>
      <c r="D110" s="1"/>
    </row>
    <row r="111" spans="1:16" x14ac:dyDescent="0.2">
      <c r="A111" s="3" t="s">
        <v>17</v>
      </c>
      <c r="B111" s="3"/>
      <c r="C111" t="s">
        <v>30</v>
      </c>
    </row>
    <row r="112" spans="1:16" x14ac:dyDescent="0.2">
      <c r="A112" s="1" t="s">
        <v>24</v>
      </c>
      <c r="B112" s="1"/>
      <c r="C112" s="1" t="s">
        <v>0</v>
      </c>
      <c r="D112" s="1" t="s">
        <v>20</v>
      </c>
      <c r="L112" s="1"/>
      <c r="M112" s="1"/>
      <c r="N112" s="1"/>
    </row>
    <row r="113" spans="1:4" x14ac:dyDescent="0.2">
      <c r="A113">
        <v>0.05</v>
      </c>
      <c r="C113" s="1">
        <v>25.8</v>
      </c>
      <c r="D113" s="1">
        <f>(C113-10.594)*150/200/C14</f>
        <v>0.83447560975609758</v>
      </c>
    </row>
    <row r="114" spans="1:4" x14ac:dyDescent="0.2">
      <c r="A114">
        <v>0.1</v>
      </c>
      <c r="C114" s="1">
        <v>45.3</v>
      </c>
      <c r="D114" s="1">
        <f t="shared" ref="D114:D117" si="6">(C114-10.594)*150/200/C15</f>
        <v>0.88837883959044361</v>
      </c>
    </row>
    <row r="115" spans="1:4" x14ac:dyDescent="0.2">
      <c r="A115">
        <v>0.2</v>
      </c>
      <c r="C115" s="1">
        <v>81.5</v>
      </c>
      <c r="D115" s="1">
        <f t="shared" si="6"/>
        <v>0.88632500000000003</v>
      </c>
    </row>
    <row r="116" spans="1:4" x14ac:dyDescent="0.2">
      <c r="A116">
        <v>0.5</v>
      </c>
      <c r="C116" s="1">
        <v>169.4</v>
      </c>
      <c r="D116" s="1">
        <f t="shared" si="6"/>
        <v>0.82941852367688029</v>
      </c>
    </row>
    <row r="117" spans="1:4" x14ac:dyDescent="0.2">
      <c r="A117">
        <v>1</v>
      </c>
      <c r="C117" s="1">
        <v>345.3</v>
      </c>
      <c r="D117" s="1">
        <f t="shared" si="6"/>
        <v>0.86681457182320443</v>
      </c>
    </row>
    <row r="118" spans="1:4" x14ac:dyDescent="0.2">
      <c r="A118" s="1"/>
      <c r="B118" s="1"/>
      <c r="C118" s="1"/>
      <c r="D118" s="1"/>
    </row>
    <row r="119" spans="1:4" x14ac:dyDescent="0.2">
      <c r="A119" t="s">
        <v>36</v>
      </c>
      <c r="C119" s="1"/>
      <c r="D119">
        <f>AVERAGE(D113:D117)</f>
        <v>0.86108250896932526</v>
      </c>
    </row>
    <row r="120" spans="1:4" x14ac:dyDescent="0.2">
      <c r="D120">
        <f>STDEV(D113:D117)</f>
        <v>2.7953821803623508E-2</v>
      </c>
    </row>
    <row r="121" spans="1:4" x14ac:dyDescent="0.2">
      <c r="A121" t="s">
        <v>42</v>
      </c>
      <c r="C121">
        <f>10.594/332.07*2900/900/384.64*1000</f>
        <v>0.26725840296899406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F654-34C9-BC4C-BDC8-275F9C1B55D3}">
  <dimension ref="A1:AA121"/>
  <sheetViews>
    <sheetView topLeftCell="A47" zoomScale="89" workbookViewId="0">
      <selection activeCell="C63" sqref="C63:C67"/>
    </sheetView>
  </sheetViews>
  <sheetFormatPr baseColWidth="10" defaultRowHeight="16" x14ac:dyDescent="0.2"/>
  <cols>
    <col min="1" max="1" width="18.83203125" customWidth="1"/>
    <col min="2" max="2" width="15.83203125" customWidth="1"/>
    <col min="13" max="13" width="12.83203125" customWidth="1"/>
    <col min="27" max="27" width="16.1640625" customWidth="1"/>
  </cols>
  <sheetData>
    <row r="1" spans="1:27" x14ac:dyDescent="0.2">
      <c r="A1" s="2" t="s">
        <v>1</v>
      </c>
      <c r="N1" s="2"/>
      <c r="AA1" s="3"/>
    </row>
    <row r="2" spans="1:27" x14ac:dyDescent="0.2">
      <c r="A2" s="3" t="s">
        <v>2</v>
      </c>
      <c r="N2" s="3"/>
    </row>
    <row r="3" spans="1:27" x14ac:dyDescent="0.2">
      <c r="A3" t="s">
        <v>3</v>
      </c>
      <c r="B3" t="s">
        <v>40</v>
      </c>
    </row>
    <row r="4" spans="1:27" x14ac:dyDescent="0.2">
      <c r="A4" t="s">
        <v>4</v>
      </c>
      <c r="B4" t="s">
        <v>21</v>
      </c>
    </row>
    <row r="5" spans="1:27" x14ac:dyDescent="0.2">
      <c r="A5" t="s">
        <v>5</v>
      </c>
      <c r="B5" t="s">
        <v>12</v>
      </c>
    </row>
    <row r="6" spans="1:27" x14ac:dyDescent="0.2">
      <c r="A6" t="s">
        <v>6</v>
      </c>
      <c r="B6" t="s">
        <v>7</v>
      </c>
    </row>
    <row r="7" spans="1:27" x14ac:dyDescent="0.2">
      <c r="A7" t="s">
        <v>8</v>
      </c>
      <c r="B7" t="s">
        <v>9</v>
      </c>
    </row>
    <row r="8" spans="1:27" x14ac:dyDescent="0.2">
      <c r="A8" t="s">
        <v>10</v>
      </c>
      <c r="B8" t="s">
        <v>46</v>
      </c>
    </row>
    <row r="9" spans="1:27" x14ac:dyDescent="0.2">
      <c r="A9" t="s">
        <v>11</v>
      </c>
      <c r="B9" t="s">
        <v>13</v>
      </c>
    </row>
    <row r="12" spans="1:27" x14ac:dyDescent="0.2">
      <c r="A12" t="s">
        <v>23</v>
      </c>
      <c r="C12">
        <v>12.1</v>
      </c>
      <c r="D12" t="s">
        <v>25</v>
      </c>
      <c r="E12">
        <v>1.2468E-2</v>
      </c>
    </row>
    <row r="13" spans="1:27" x14ac:dyDescent="0.2">
      <c r="A13" t="s">
        <v>22</v>
      </c>
      <c r="B13" t="s">
        <v>0</v>
      </c>
      <c r="C13">
        <v>11.5</v>
      </c>
      <c r="M13" t="s">
        <v>44</v>
      </c>
    </row>
    <row r="14" spans="1:27" x14ac:dyDescent="0.2">
      <c r="A14">
        <v>0.05</v>
      </c>
      <c r="B14">
        <v>11.93333333</v>
      </c>
      <c r="C14">
        <v>12.2</v>
      </c>
      <c r="M14">
        <f>A14/400.64*1000</f>
        <v>0.12480031948881791</v>
      </c>
    </row>
    <row r="15" spans="1:27" x14ac:dyDescent="0.2">
      <c r="A15">
        <v>0.1</v>
      </c>
      <c r="B15" s="5">
        <v>21.4</v>
      </c>
      <c r="M15">
        <f t="shared" ref="M15:M18" si="0">A15/400.64*1000</f>
        <v>0.24960063897763582</v>
      </c>
    </row>
    <row r="16" spans="1:27" x14ac:dyDescent="0.2">
      <c r="A16">
        <v>0.2</v>
      </c>
      <c r="B16" s="5">
        <v>44.8</v>
      </c>
      <c r="M16">
        <f t="shared" si="0"/>
        <v>0.49920127795527164</v>
      </c>
    </row>
    <row r="17" spans="1:13" x14ac:dyDescent="0.2">
      <c r="A17">
        <v>0.5</v>
      </c>
      <c r="B17" s="5">
        <v>122.7</v>
      </c>
      <c r="M17">
        <f t="shared" si="0"/>
        <v>1.2480031948881789</v>
      </c>
    </row>
    <row r="18" spans="1:13" x14ac:dyDescent="0.2">
      <c r="A18">
        <v>1</v>
      </c>
      <c r="B18" s="5">
        <v>255</v>
      </c>
      <c r="M18">
        <f t="shared" si="0"/>
        <v>2.4960063897763578</v>
      </c>
    </row>
    <row r="28" spans="1:13" x14ac:dyDescent="0.2">
      <c r="A28" s="3" t="s">
        <v>14</v>
      </c>
      <c r="B28" t="s">
        <v>26</v>
      </c>
    </row>
    <row r="29" spans="1:13" x14ac:dyDescent="0.2">
      <c r="A29" t="s">
        <v>24</v>
      </c>
      <c r="B29" t="s">
        <v>0</v>
      </c>
      <c r="C29" t="s">
        <v>20</v>
      </c>
    </row>
    <row r="30" spans="1:13" x14ac:dyDescent="0.2">
      <c r="A30">
        <v>0.05</v>
      </c>
      <c r="B30" s="5">
        <v>25.5</v>
      </c>
      <c r="C30">
        <f>(B30-7.383)*150/200/B14</f>
        <v>1.13863826847448</v>
      </c>
    </row>
    <row r="31" spans="1:13" x14ac:dyDescent="0.2">
      <c r="A31">
        <v>0.1</v>
      </c>
      <c r="B31" s="5">
        <v>42.4</v>
      </c>
      <c r="C31">
        <f t="shared" ref="C31:C34" si="1">(B31-7.383)*150/200/B15</f>
        <v>1.227231308411215</v>
      </c>
    </row>
    <row r="32" spans="1:13" x14ac:dyDescent="0.2">
      <c r="A32">
        <v>0.2</v>
      </c>
      <c r="B32" s="5">
        <v>65.099999999999994</v>
      </c>
      <c r="C32">
        <f t="shared" si="1"/>
        <v>0.96624441964285712</v>
      </c>
    </row>
    <row r="33" spans="1:3" x14ac:dyDescent="0.2">
      <c r="A33">
        <v>0.5</v>
      </c>
      <c r="B33" s="5">
        <v>168.5</v>
      </c>
      <c r="C33">
        <f t="shared" si="1"/>
        <v>0.98482273838630807</v>
      </c>
    </row>
    <row r="34" spans="1:3" x14ac:dyDescent="0.2">
      <c r="A34">
        <v>1</v>
      </c>
      <c r="B34" s="5">
        <v>328.3</v>
      </c>
      <c r="C34">
        <f t="shared" si="1"/>
        <v>0.94387352941176483</v>
      </c>
    </row>
    <row r="36" spans="1:3" x14ac:dyDescent="0.2">
      <c r="C36">
        <f>AVERAGE(C30:C34)</f>
        <v>1.052162052865325</v>
      </c>
    </row>
    <row r="37" spans="1:3" x14ac:dyDescent="0.2">
      <c r="A37" t="s">
        <v>31</v>
      </c>
      <c r="C37">
        <f>STDEV(C30:C34)</f>
        <v>0.1242680644697985</v>
      </c>
    </row>
    <row r="39" spans="1:3" x14ac:dyDescent="0.2">
      <c r="A39" t="s">
        <v>41</v>
      </c>
      <c r="B39">
        <f>7.381/342.24/400.64*1000</f>
        <v>5.3830712841687993E-2</v>
      </c>
    </row>
    <row r="45" spans="1:3" x14ac:dyDescent="0.2">
      <c r="A45" s="3" t="s">
        <v>16</v>
      </c>
      <c r="B45" t="s">
        <v>27</v>
      </c>
    </row>
    <row r="46" spans="1:3" x14ac:dyDescent="0.2">
      <c r="A46" t="s">
        <v>24</v>
      </c>
      <c r="B46" t="s">
        <v>0</v>
      </c>
      <c r="C46" t="s">
        <v>20</v>
      </c>
    </row>
    <row r="47" spans="1:3" x14ac:dyDescent="0.2">
      <c r="A47">
        <v>0.05</v>
      </c>
      <c r="B47" s="4">
        <v>21.9</v>
      </c>
      <c r="C47">
        <f>(B47-3.3981)*150/200/B14</f>
        <v>1.1628289109393377</v>
      </c>
    </row>
    <row r="48" spans="1:3" x14ac:dyDescent="0.2">
      <c r="A48">
        <v>0.1</v>
      </c>
      <c r="B48" s="4">
        <v>35.1</v>
      </c>
      <c r="C48">
        <f t="shared" ref="C48:C51" si="2">(B48-3.3981)*150/200/B15</f>
        <v>1.1110478971962618</v>
      </c>
    </row>
    <row r="49" spans="1:15" x14ac:dyDescent="0.2">
      <c r="A49">
        <v>0.2</v>
      </c>
      <c r="B49" s="4">
        <v>55.4</v>
      </c>
      <c r="C49">
        <f t="shared" si="2"/>
        <v>0.87056752232142853</v>
      </c>
    </row>
    <row r="50" spans="1:15" x14ac:dyDescent="0.2">
      <c r="A50">
        <v>0.5</v>
      </c>
      <c r="B50" s="4">
        <v>133.4</v>
      </c>
      <c r="C50">
        <f t="shared" si="2"/>
        <v>0.79463264058679706</v>
      </c>
    </row>
    <row r="51" spans="1:15" x14ac:dyDescent="0.2">
      <c r="A51">
        <v>1</v>
      </c>
      <c r="B51" s="4">
        <v>287.2</v>
      </c>
      <c r="C51">
        <f t="shared" si="2"/>
        <v>0.83471147058823525</v>
      </c>
      <c r="N51" s="1"/>
      <c r="O51" s="1"/>
    </row>
    <row r="52" spans="1:15" x14ac:dyDescent="0.2">
      <c r="N52" s="1"/>
      <c r="O52" s="1"/>
    </row>
    <row r="53" spans="1:15" x14ac:dyDescent="0.2">
      <c r="C53">
        <f>AVERAGE(C47:C51)</f>
        <v>0.95475768832641206</v>
      </c>
      <c r="N53" s="1"/>
      <c r="O53" s="1"/>
    </row>
    <row r="54" spans="1:15" x14ac:dyDescent="0.2">
      <c r="A54" t="s">
        <v>32</v>
      </c>
      <c r="C54">
        <f>STDEV(C47:C51)</f>
        <v>0.16945454584269914</v>
      </c>
      <c r="N54" s="1"/>
      <c r="O54" s="1"/>
    </row>
    <row r="55" spans="1:15" x14ac:dyDescent="0.2">
      <c r="N55" s="1"/>
      <c r="O55" s="1"/>
    </row>
    <row r="56" spans="1:15" x14ac:dyDescent="0.2">
      <c r="A56" t="s">
        <v>42</v>
      </c>
      <c r="B56">
        <f>3.3981/278.92*390/90/400.64*1000</f>
        <v>0.13177234938367935</v>
      </c>
      <c r="N56" s="1"/>
      <c r="O56" s="1"/>
    </row>
    <row r="57" spans="1:15" x14ac:dyDescent="0.2">
      <c r="N57" s="1"/>
      <c r="O57" s="1"/>
    </row>
    <row r="58" spans="1:15" x14ac:dyDescent="0.2">
      <c r="N58" s="1"/>
      <c r="O58" s="1"/>
    </row>
    <row r="59" spans="1:15" x14ac:dyDescent="0.2">
      <c r="N59" s="1"/>
      <c r="O59" s="1"/>
    </row>
    <row r="60" spans="1:15" x14ac:dyDescent="0.2">
      <c r="O60" s="1"/>
    </row>
    <row r="61" spans="1:15" x14ac:dyDescent="0.2">
      <c r="A61" s="3" t="s">
        <v>18</v>
      </c>
      <c r="B61" s="1" t="s">
        <v>28</v>
      </c>
      <c r="O61" s="1"/>
    </row>
    <row r="62" spans="1:15" x14ac:dyDescent="0.2">
      <c r="A62" s="1" t="s">
        <v>24</v>
      </c>
      <c r="B62" s="1" t="s">
        <v>0</v>
      </c>
      <c r="C62" s="1" t="s">
        <v>20</v>
      </c>
      <c r="O62" s="1"/>
    </row>
    <row r="63" spans="1:15" x14ac:dyDescent="0.2">
      <c r="A63">
        <v>0.05</v>
      </c>
      <c r="B63" s="4">
        <v>19.899999999999999</v>
      </c>
      <c r="C63" s="1">
        <f>(B63-7.2023)*150/200/B14</f>
        <v>0.79803980469218971</v>
      </c>
      <c r="O63" s="1"/>
    </row>
    <row r="64" spans="1:15" x14ac:dyDescent="0.2">
      <c r="A64">
        <v>0.1</v>
      </c>
      <c r="B64" s="4">
        <v>32.200000000000003</v>
      </c>
      <c r="C64" s="1">
        <f t="shared" ref="C64:C67" si="3">(B64-7.2023)*150/200/B15</f>
        <v>0.87608761682242997</v>
      </c>
      <c r="O64" s="1"/>
    </row>
    <row r="65" spans="1:15" x14ac:dyDescent="0.2">
      <c r="A65">
        <v>0.2</v>
      </c>
      <c r="B65" s="4">
        <v>68.099999999999994</v>
      </c>
      <c r="C65" s="1">
        <f t="shared" si="3"/>
        <v>1.0194927455357143</v>
      </c>
    </row>
    <row r="66" spans="1:15" x14ac:dyDescent="0.2">
      <c r="A66">
        <v>0.5</v>
      </c>
      <c r="B66" s="4">
        <v>160.19999999999999</v>
      </c>
      <c r="C66" s="1">
        <f t="shared" si="3"/>
        <v>0.93519376528117348</v>
      </c>
    </row>
    <row r="67" spans="1:15" x14ac:dyDescent="0.2">
      <c r="A67">
        <v>1</v>
      </c>
      <c r="B67" s="4">
        <v>295.5</v>
      </c>
      <c r="C67" s="1">
        <f t="shared" si="3"/>
        <v>0.84793441176470596</v>
      </c>
    </row>
    <row r="68" spans="1:15" x14ac:dyDescent="0.2">
      <c r="N68" s="1"/>
      <c r="O68" s="1"/>
    </row>
    <row r="69" spans="1:15" x14ac:dyDescent="0.2">
      <c r="C69">
        <f>AVERAGE(C63:C67)</f>
        <v>0.89534966881924272</v>
      </c>
      <c r="N69" s="1"/>
      <c r="O69" s="1"/>
    </row>
    <row r="70" spans="1:15" x14ac:dyDescent="0.2">
      <c r="A70" t="s">
        <v>33</v>
      </c>
      <c r="C70">
        <f>STDEV(C63:C67)</f>
        <v>8.5275287194767971E-2</v>
      </c>
      <c r="N70" s="1"/>
      <c r="O70" s="1"/>
    </row>
    <row r="71" spans="1:15" x14ac:dyDescent="0.2">
      <c r="N71" s="1"/>
      <c r="O71" s="1"/>
    </row>
    <row r="72" spans="1:15" x14ac:dyDescent="0.2">
      <c r="A72" t="s">
        <v>42</v>
      </c>
      <c r="B72">
        <f>7.2023/291.83*635/135/400.64*1000</f>
        <v>0.28975231981556426</v>
      </c>
      <c r="N72" s="1"/>
      <c r="O72" s="1"/>
    </row>
    <row r="73" spans="1:15" x14ac:dyDescent="0.2">
      <c r="N73" s="1"/>
      <c r="O73" s="1"/>
    </row>
    <row r="74" spans="1:15" x14ac:dyDescent="0.2">
      <c r="N74" s="1"/>
      <c r="O74" s="1"/>
    </row>
    <row r="75" spans="1:15" x14ac:dyDescent="0.2">
      <c r="N75" s="1"/>
      <c r="O75" s="1"/>
    </row>
    <row r="76" spans="1:15" x14ac:dyDescent="0.2">
      <c r="O76" s="1"/>
    </row>
    <row r="77" spans="1:15" x14ac:dyDescent="0.2">
      <c r="A77" s="3" t="s">
        <v>19</v>
      </c>
      <c r="B77" t="s">
        <v>29</v>
      </c>
    </row>
    <row r="78" spans="1:15" x14ac:dyDescent="0.2">
      <c r="A78" s="1" t="s">
        <v>24</v>
      </c>
      <c r="B78" s="1" t="s">
        <v>0</v>
      </c>
      <c r="C78" s="1" t="s">
        <v>20</v>
      </c>
    </row>
    <row r="79" spans="1:15" x14ac:dyDescent="0.2">
      <c r="A79">
        <v>0.05</v>
      </c>
      <c r="B79" s="4">
        <v>23.5</v>
      </c>
      <c r="C79" s="1">
        <f>(B79-8.3906)*150/200/B14</f>
        <v>0.94961312875687542</v>
      </c>
    </row>
    <row r="80" spans="1:15" x14ac:dyDescent="0.2">
      <c r="A80">
        <v>0.1</v>
      </c>
      <c r="B80" s="4">
        <v>37.1</v>
      </c>
      <c r="C80" s="1">
        <f t="shared" ref="C80:C83" si="4">(B80-8.3906)*150/200/B15</f>
        <v>1.0061705607476639</v>
      </c>
    </row>
    <row r="81" spans="1:15" x14ac:dyDescent="0.2">
      <c r="A81">
        <v>0.2</v>
      </c>
      <c r="B81" s="4">
        <v>55.4</v>
      </c>
      <c r="C81" s="1">
        <f t="shared" si="4"/>
        <v>0.78698772321428578</v>
      </c>
    </row>
    <row r="82" spans="1:15" x14ac:dyDescent="0.2">
      <c r="A82">
        <v>0.5</v>
      </c>
      <c r="B82" s="4">
        <v>134.5</v>
      </c>
      <c r="C82" s="1">
        <f t="shared" si="4"/>
        <v>0.77083985330073346</v>
      </c>
    </row>
    <row r="83" spans="1:15" x14ac:dyDescent="0.2">
      <c r="A83">
        <v>1</v>
      </c>
      <c r="B83" s="4">
        <v>267.39999999999998</v>
      </c>
      <c r="C83" s="1">
        <f t="shared" si="4"/>
        <v>0.76179235294117642</v>
      </c>
    </row>
    <row r="85" spans="1:15" x14ac:dyDescent="0.2">
      <c r="C85">
        <f>AVERAGE(C79:C83)</f>
        <v>0.85508072379214695</v>
      </c>
    </row>
    <row r="86" spans="1:15" x14ac:dyDescent="0.2">
      <c r="A86" t="s">
        <v>34</v>
      </c>
      <c r="C86">
        <f>STDEV(C79:C83)</f>
        <v>0.11423705128430935</v>
      </c>
      <c r="N86" s="1"/>
      <c r="O86" s="1"/>
    </row>
    <row r="87" spans="1:15" x14ac:dyDescent="0.2">
      <c r="N87" s="1"/>
      <c r="O87" s="1"/>
    </row>
    <row r="88" spans="1:15" x14ac:dyDescent="0.2">
      <c r="A88" t="s">
        <v>42</v>
      </c>
      <c r="B88">
        <f>8.3906/257.27*750/250/400.64*1000</f>
        <v>0.24421414716901513</v>
      </c>
      <c r="N88" s="1"/>
      <c r="O88" s="1"/>
    </row>
    <row r="89" spans="1:15" x14ac:dyDescent="0.2">
      <c r="N89" s="1"/>
      <c r="O89" s="1"/>
    </row>
    <row r="90" spans="1:15" x14ac:dyDescent="0.2">
      <c r="N90" s="1"/>
      <c r="O90" s="1"/>
    </row>
    <row r="91" spans="1:15" x14ac:dyDescent="0.2">
      <c r="N91" s="1"/>
      <c r="O91" s="1"/>
    </row>
    <row r="92" spans="1:15" x14ac:dyDescent="0.2">
      <c r="A92" s="1"/>
      <c r="B92" s="1"/>
      <c r="C92" s="1"/>
      <c r="N92" s="1"/>
      <c r="O92" s="1"/>
    </row>
    <row r="93" spans="1:15" x14ac:dyDescent="0.2">
      <c r="A93" s="1"/>
      <c r="B93" s="1"/>
      <c r="C93" s="1"/>
      <c r="O93" s="1"/>
    </row>
    <row r="94" spans="1:15" x14ac:dyDescent="0.2">
      <c r="A94" s="3" t="s">
        <v>15</v>
      </c>
      <c r="B94" t="s">
        <v>26</v>
      </c>
    </row>
    <row r="95" spans="1:15" x14ac:dyDescent="0.2">
      <c r="A95" s="1" t="s">
        <v>24</v>
      </c>
      <c r="B95" s="1" t="s">
        <v>0</v>
      </c>
      <c r="C95" s="1" t="s">
        <v>20</v>
      </c>
      <c r="N95" s="3" t="s">
        <v>15</v>
      </c>
      <c r="O95" t="s">
        <v>38</v>
      </c>
    </row>
    <row r="96" spans="1:15" x14ac:dyDescent="0.2">
      <c r="A96">
        <v>0.05</v>
      </c>
      <c r="B96" s="4">
        <v>25.3</v>
      </c>
      <c r="C96" s="1">
        <f>(B96-10.182)*150/200/B14</f>
        <v>0.9501536315503224</v>
      </c>
      <c r="N96" s="1" t="s">
        <v>24</v>
      </c>
      <c r="O96" s="1" t="s">
        <v>0</v>
      </c>
    </row>
    <row r="97" spans="1:15" x14ac:dyDescent="0.2">
      <c r="A97">
        <v>0.1</v>
      </c>
      <c r="B97" s="4">
        <v>42.1</v>
      </c>
      <c r="C97" s="1">
        <f t="shared" ref="C97:C100" si="5">(B97-10.182)*150/200/B15</f>
        <v>1.1186214953271028</v>
      </c>
      <c r="N97">
        <v>0.05</v>
      </c>
      <c r="O97" s="1">
        <v>68</v>
      </c>
    </row>
    <row r="98" spans="1:15" x14ac:dyDescent="0.2">
      <c r="A98">
        <v>0.2</v>
      </c>
      <c r="B98" s="4">
        <v>89.7</v>
      </c>
      <c r="C98" s="1">
        <f t="shared" si="5"/>
        <v>1.3312165178571429</v>
      </c>
      <c r="N98">
        <v>0.1</v>
      </c>
      <c r="O98" s="1">
        <v>91.9</v>
      </c>
    </row>
    <row r="99" spans="1:15" x14ac:dyDescent="0.2">
      <c r="A99">
        <v>0.5</v>
      </c>
      <c r="B99" s="4">
        <v>175.7</v>
      </c>
      <c r="C99" s="1">
        <f t="shared" si="5"/>
        <v>1.0117237163814181</v>
      </c>
      <c r="N99">
        <v>0.2</v>
      </c>
      <c r="O99" s="1">
        <v>120.6</v>
      </c>
    </row>
    <row r="100" spans="1:15" x14ac:dyDescent="0.2">
      <c r="A100">
        <v>1</v>
      </c>
      <c r="B100" s="4">
        <v>358.3</v>
      </c>
      <c r="C100" s="1">
        <f t="shared" si="5"/>
        <v>1.0238764705882353</v>
      </c>
      <c r="N100">
        <v>0.5</v>
      </c>
      <c r="O100" s="1">
        <v>234.4</v>
      </c>
    </row>
    <row r="101" spans="1:15" x14ac:dyDescent="0.2">
      <c r="N101">
        <v>1</v>
      </c>
      <c r="O101" s="1">
        <v>404.8</v>
      </c>
    </row>
    <row r="102" spans="1:15" x14ac:dyDescent="0.2">
      <c r="A102" t="s">
        <v>35</v>
      </c>
      <c r="C102">
        <f>AVERAGE(C96:C100)</f>
        <v>1.0871183663408444</v>
      </c>
    </row>
    <row r="103" spans="1:15" x14ac:dyDescent="0.2">
      <c r="C103">
        <f>STDEV(C96:C100)</f>
        <v>0.14918074935017944</v>
      </c>
      <c r="N103" t="s">
        <v>37</v>
      </c>
      <c r="O103" s="1">
        <v>57.8</v>
      </c>
    </row>
    <row r="104" spans="1:15" x14ac:dyDescent="0.2">
      <c r="A104" t="s">
        <v>42</v>
      </c>
      <c r="B104">
        <f>10.182/346.05*1430/430/400.64*1000</f>
        <v>0.24423478255800593</v>
      </c>
    </row>
    <row r="105" spans="1:15" x14ac:dyDescent="0.2">
      <c r="N105" t="s">
        <v>39</v>
      </c>
    </row>
    <row r="109" spans="1:15" x14ac:dyDescent="0.2">
      <c r="A109" s="1"/>
      <c r="B109" s="1"/>
      <c r="C109" s="1"/>
    </row>
    <row r="110" spans="1:15" x14ac:dyDescent="0.2">
      <c r="A110" s="1"/>
      <c r="B110" s="1"/>
      <c r="C110" s="1"/>
    </row>
    <row r="111" spans="1:15" x14ac:dyDescent="0.2">
      <c r="A111" s="3" t="s">
        <v>17</v>
      </c>
      <c r="B111" t="s">
        <v>30</v>
      </c>
    </row>
    <row r="112" spans="1:15" x14ac:dyDescent="0.2">
      <c r="A112" s="1" t="s">
        <v>24</v>
      </c>
      <c r="B112" s="1" t="s">
        <v>0</v>
      </c>
      <c r="C112" s="1" t="s">
        <v>20</v>
      </c>
      <c r="K112" s="1"/>
      <c r="L112" s="1"/>
      <c r="M112" s="1"/>
    </row>
    <row r="113" spans="1:3" x14ac:dyDescent="0.2">
      <c r="A113">
        <v>0.05</v>
      </c>
      <c r="B113" s="4">
        <v>20.5</v>
      </c>
      <c r="C113" s="1">
        <f>(B113-7.5101)*150/200/B14</f>
        <v>0.81640432983698441</v>
      </c>
    </row>
    <row r="114" spans="1:3" x14ac:dyDescent="0.2">
      <c r="A114">
        <v>0.1</v>
      </c>
      <c r="B114" s="4">
        <v>33.9</v>
      </c>
      <c r="C114" s="1">
        <f t="shared" ref="C114:C117" si="6">(B114-7.5101)*150/200/B15</f>
        <v>0.92487967289719619</v>
      </c>
    </row>
    <row r="115" spans="1:3" x14ac:dyDescent="0.2">
      <c r="A115">
        <v>0.2</v>
      </c>
      <c r="B115" s="4">
        <v>65.099999999999994</v>
      </c>
      <c r="C115" s="1">
        <f t="shared" si="6"/>
        <v>0.96411662946428567</v>
      </c>
    </row>
    <row r="116" spans="1:3" x14ac:dyDescent="0.2">
      <c r="A116">
        <v>0.5</v>
      </c>
      <c r="B116" s="4">
        <v>149.80000000000001</v>
      </c>
      <c r="C116" s="1">
        <f t="shared" si="6"/>
        <v>0.86974266503667497</v>
      </c>
    </row>
    <row r="117" spans="1:3" x14ac:dyDescent="0.2">
      <c r="A117">
        <v>1</v>
      </c>
      <c r="B117" s="4">
        <v>277.10000000000002</v>
      </c>
      <c r="C117" s="1">
        <f t="shared" si="6"/>
        <v>0.7929114705882353</v>
      </c>
    </row>
    <row r="118" spans="1:3" x14ac:dyDescent="0.2">
      <c r="A118" s="1"/>
      <c r="B118" s="1"/>
      <c r="C118" s="1"/>
    </row>
    <row r="119" spans="1:3" x14ac:dyDescent="0.2">
      <c r="A119" t="s">
        <v>36</v>
      </c>
      <c r="B119" s="1"/>
      <c r="C119">
        <f>AVERAGE(C113:C117)</f>
        <v>0.87361095356467544</v>
      </c>
    </row>
    <row r="120" spans="1:3" x14ac:dyDescent="0.2">
      <c r="C120">
        <f>STDEV(C113:C117)</f>
        <v>7.1797853309072387E-2</v>
      </c>
    </row>
    <row r="121" spans="1:3" x14ac:dyDescent="0.2">
      <c r="A121" t="s">
        <v>42</v>
      </c>
      <c r="B121">
        <f>7.5101/272.89*2900/900/400.64*1000</f>
        <v>0.22133968104687005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42504-F9EF-9442-8010-5958B9D3F5C5}">
  <dimension ref="A1:AA121"/>
  <sheetViews>
    <sheetView tabSelected="1" topLeftCell="A49" zoomScale="90" workbookViewId="0">
      <selection activeCell="C113" sqref="C113:C117"/>
    </sheetView>
  </sheetViews>
  <sheetFormatPr baseColWidth="10" defaultRowHeight="16" x14ac:dyDescent="0.2"/>
  <cols>
    <col min="1" max="1" width="18.83203125" customWidth="1"/>
    <col min="2" max="2" width="15.83203125" customWidth="1"/>
    <col min="12" max="12" width="12.5" customWidth="1"/>
    <col min="27" max="27" width="16.1640625" customWidth="1"/>
  </cols>
  <sheetData>
    <row r="1" spans="1:27" x14ac:dyDescent="0.2">
      <c r="A1" s="2" t="s">
        <v>1</v>
      </c>
      <c r="N1" s="2"/>
      <c r="AA1" s="3"/>
    </row>
    <row r="2" spans="1:27" x14ac:dyDescent="0.2">
      <c r="A2" s="3" t="s">
        <v>2</v>
      </c>
      <c r="N2" s="3"/>
    </row>
    <row r="3" spans="1:27" x14ac:dyDescent="0.2">
      <c r="A3" t="s">
        <v>3</v>
      </c>
      <c r="B3" t="s">
        <v>40</v>
      </c>
    </row>
    <row r="4" spans="1:27" x14ac:dyDescent="0.2">
      <c r="A4" t="s">
        <v>4</v>
      </c>
      <c r="B4" t="s">
        <v>21</v>
      </c>
    </row>
    <row r="5" spans="1:27" x14ac:dyDescent="0.2">
      <c r="A5" t="s">
        <v>5</v>
      </c>
      <c r="B5" t="s">
        <v>12</v>
      </c>
    </row>
    <row r="6" spans="1:27" x14ac:dyDescent="0.2">
      <c r="A6" t="s">
        <v>6</v>
      </c>
      <c r="B6" t="s">
        <v>7</v>
      </c>
    </row>
    <row r="7" spans="1:27" x14ac:dyDescent="0.2">
      <c r="A7" t="s">
        <v>8</v>
      </c>
      <c r="B7" t="s">
        <v>9</v>
      </c>
    </row>
    <row r="8" spans="1:27" x14ac:dyDescent="0.2">
      <c r="A8" t="s">
        <v>10</v>
      </c>
      <c r="B8" t="s">
        <v>47</v>
      </c>
    </row>
    <row r="9" spans="1:27" x14ac:dyDescent="0.2">
      <c r="A9" t="s">
        <v>11</v>
      </c>
      <c r="B9" t="s">
        <v>13</v>
      </c>
    </row>
    <row r="12" spans="1:27" x14ac:dyDescent="0.2">
      <c r="A12" t="s">
        <v>23</v>
      </c>
      <c r="C12">
        <v>11.1</v>
      </c>
      <c r="D12" t="s">
        <v>25</v>
      </c>
      <c r="E12">
        <f>STDEV(C12:C14)*10/303.65</f>
        <v>1.6575738372623633E-2</v>
      </c>
    </row>
    <row r="13" spans="1:27" x14ac:dyDescent="0.2">
      <c r="A13" t="s">
        <v>22</v>
      </c>
      <c r="B13" t="s">
        <v>0</v>
      </c>
      <c r="C13">
        <v>11.5</v>
      </c>
      <c r="L13" t="s">
        <v>44</v>
      </c>
    </row>
    <row r="14" spans="1:27" x14ac:dyDescent="0.2">
      <c r="A14">
        <v>0.05</v>
      </c>
      <c r="B14">
        <f>AVERAGE(C12:C14)</f>
        <v>11.566666666666668</v>
      </c>
      <c r="C14">
        <v>12.1</v>
      </c>
      <c r="L14">
        <f>A14/416.64*1000</f>
        <v>0.12000768049155147</v>
      </c>
    </row>
    <row r="15" spans="1:27" x14ac:dyDescent="0.2">
      <c r="A15">
        <v>0.1</v>
      </c>
      <c r="B15" s="4">
        <v>23.4</v>
      </c>
      <c r="L15">
        <f t="shared" ref="L15:L18" si="0">A15/416.64*1000</f>
        <v>0.24001536098310294</v>
      </c>
    </row>
    <row r="16" spans="1:27" x14ac:dyDescent="0.2">
      <c r="A16">
        <v>0.2</v>
      </c>
      <c r="B16" s="4">
        <v>46.8</v>
      </c>
      <c r="L16">
        <f t="shared" si="0"/>
        <v>0.48003072196620589</v>
      </c>
    </row>
    <row r="17" spans="1:12" x14ac:dyDescent="0.2">
      <c r="A17">
        <v>0.5</v>
      </c>
      <c r="B17" s="4">
        <v>117.5</v>
      </c>
      <c r="L17">
        <f t="shared" si="0"/>
        <v>1.2000768049155146</v>
      </c>
    </row>
    <row r="18" spans="1:12" x14ac:dyDescent="0.2">
      <c r="A18">
        <v>1</v>
      </c>
      <c r="B18" s="4">
        <v>230</v>
      </c>
      <c r="L18">
        <f t="shared" si="0"/>
        <v>2.4001536098310292</v>
      </c>
    </row>
    <row r="28" spans="1:12" x14ac:dyDescent="0.2">
      <c r="A28" s="3" t="s">
        <v>14</v>
      </c>
      <c r="B28" t="s">
        <v>26</v>
      </c>
    </row>
    <row r="29" spans="1:12" x14ac:dyDescent="0.2">
      <c r="A29" t="s">
        <v>24</v>
      </c>
      <c r="B29" t="s">
        <v>0</v>
      </c>
      <c r="C29" t="s">
        <v>20</v>
      </c>
    </row>
    <row r="30" spans="1:12" x14ac:dyDescent="0.2">
      <c r="A30">
        <v>0.05</v>
      </c>
      <c r="B30" s="4">
        <v>11.2</v>
      </c>
      <c r="C30">
        <f>(B30-0.4082)*150/200/B14</f>
        <v>0.6997564841498557</v>
      </c>
    </row>
    <row r="31" spans="1:12" x14ac:dyDescent="0.2">
      <c r="A31">
        <v>0.1</v>
      </c>
      <c r="B31" s="4">
        <v>33.700000000000003</v>
      </c>
      <c r="C31">
        <f t="shared" ref="C31:C34" si="1">(B31-0.4082)*150/200/B15</f>
        <v>1.067044871794872</v>
      </c>
    </row>
    <row r="32" spans="1:12" x14ac:dyDescent="0.2">
      <c r="A32">
        <v>0.2</v>
      </c>
      <c r="B32" s="4">
        <v>60.8</v>
      </c>
      <c r="C32">
        <f t="shared" si="1"/>
        <v>0.96781730769230756</v>
      </c>
    </row>
    <row r="33" spans="1:3" x14ac:dyDescent="0.2">
      <c r="A33">
        <v>0.5</v>
      </c>
      <c r="B33" s="4">
        <v>143.6</v>
      </c>
      <c r="C33">
        <f t="shared" si="1"/>
        <v>0.91399021276595749</v>
      </c>
    </row>
    <row r="34" spans="1:3" x14ac:dyDescent="0.2">
      <c r="A34">
        <v>1</v>
      </c>
      <c r="B34" s="4">
        <v>293.8</v>
      </c>
      <c r="C34">
        <f t="shared" si="1"/>
        <v>0.95671239130434782</v>
      </c>
    </row>
    <row r="36" spans="1:3" x14ac:dyDescent="0.2">
      <c r="C36">
        <f>AVERAGE(C30:C34)</f>
        <v>0.92106425354146815</v>
      </c>
    </row>
    <row r="37" spans="1:3" x14ac:dyDescent="0.2">
      <c r="A37" t="s">
        <v>31</v>
      </c>
      <c r="C37">
        <f>STDEV(C30:C34)</f>
        <v>0.135825393014361</v>
      </c>
    </row>
    <row r="39" spans="1:3" x14ac:dyDescent="0.2">
      <c r="A39" t="s">
        <v>41</v>
      </c>
      <c r="B39">
        <f>0.4082/292.46/416.64*1000</f>
        <v>3.3500058248410931E-3</v>
      </c>
    </row>
    <row r="45" spans="1:3" x14ac:dyDescent="0.2">
      <c r="A45" s="3" t="s">
        <v>16</v>
      </c>
      <c r="B45" t="s">
        <v>27</v>
      </c>
    </row>
    <row r="46" spans="1:3" x14ac:dyDescent="0.2">
      <c r="A46" t="s">
        <v>24</v>
      </c>
      <c r="B46" t="s">
        <v>0</v>
      </c>
      <c r="C46" t="s">
        <v>20</v>
      </c>
    </row>
    <row r="47" spans="1:3" x14ac:dyDescent="0.2">
      <c r="A47">
        <v>0.05</v>
      </c>
      <c r="B47" s="4">
        <v>18.899999999999999</v>
      </c>
      <c r="C47">
        <f>(B47-1.3144)*150/200/B14</f>
        <v>1.1402766570605187</v>
      </c>
    </row>
    <row r="48" spans="1:3" x14ac:dyDescent="0.2">
      <c r="A48">
        <v>0.1</v>
      </c>
      <c r="B48" s="4">
        <v>32.1</v>
      </c>
      <c r="C48">
        <f t="shared" ref="C48:C51" si="2">(B48-1.3144)*150/200/B15</f>
        <v>0.98671794871794882</v>
      </c>
    </row>
    <row r="49" spans="1:15" x14ac:dyDescent="0.2">
      <c r="A49">
        <v>0.2</v>
      </c>
      <c r="B49" s="4">
        <v>52.4</v>
      </c>
      <c r="C49">
        <f t="shared" si="2"/>
        <v>0.81867948717948724</v>
      </c>
    </row>
    <row r="50" spans="1:15" x14ac:dyDescent="0.2">
      <c r="A50">
        <v>0.5</v>
      </c>
      <c r="B50" s="4">
        <v>137.9</v>
      </c>
      <c r="C50">
        <f t="shared" si="2"/>
        <v>0.87182297872340431</v>
      </c>
    </row>
    <row r="51" spans="1:15" x14ac:dyDescent="0.2">
      <c r="A51">
        <v>1</v>
      </c>
      <c r="B51" s="4">
        <v>284.2</v>
      </c>
      <c r="C51">
        <f t="shared" si="2"/>
        <v>0.92245304347826096</v>
      </c>
      <c r="N51" s="1"/>
      <c r="O51" s="1"/>
    </row>
    <row r="52" spans="1:15" x14ac:dyDescent="0.2">
      <c r="N52" s="1"/>
      <c r="O52" s="1"/>
    </row>
    <row r="53" spans="1:15" x14ac:dyDescent="0.2">
      <c r="C53">
        <f>AVERAGE(C47:C51)</f>
        <v>0.94799002303192414</v>
      </c>
      <c r="N53" s="1"/>
      <c r="O53" s="1"/>
    </row>
    <row r="54" spans="1:15" x14ac:dyDescent="0.2">
      <c r="A54" t="s">
        <v>32</v>
      </c>
      <c r="C54">
        <f>STDEV(C47:C51)</f>
        <v>0.12414585423993381</v>
      </c>
      <c r="N54" s="1"/>
      <c r="O54" s="1"/>
    </row>
    <row r="55" spans="1:15" x14ac:dyDescent="0.2">
      <c r="N55" s="1"/>
      <c r="O55" s="1"/>
    </row>
    <row r="56" spans="1:15" x14ac:dyDescent="0.2">
      <c r="A56" t="s">
        <v>42</v>
      </c>
      <c r="B56">
        <f>1.3144/280.5*390/90/416.64*1000</f>
        <v>4.8736666383725202E-2</v>
      </c>
      <c r="N56" s="1"/>
      <c r="O56" s="1"/>
    </row>
    <row r="57" spans="1:15" x14ac:dyDescent="0.2">
      <c r="N57" s="1"/>
      <c r="O57" s="1"/>
    </row>
    <row r="58" spans="1:15" x14ac:dyDescent="0.2">
      <c r="N58" s="1"/>
      <c r="O58" s="1"/>
    </row>
    <row r="59" spans="1:15" x14ac:dyDescent="0.2">
      <c r="N59" s="1"/>
      <c r="O59" s="1"/>
    </row>
    <row r="60" spans="1:15" x14ac:dyDescent="0.2">
      <c r="O60" s="1"/>
    </row>
    <row r="61" spans="1:15" x14ac:dyDescent="0.2">
      <c r="A61" s="3" t="s">
        <v>18</v>
      </c>
      <c r="B61" s="1" t="s">
        <v>28</v>
      </c>
      <c r="O61" s="1"/>
    </row>
    <row r="62" spans="1:15" x14ac:dyDescent="0.2">
      <c r="A62" s="1" t="s">
        <v>24</v>
      </c>
      <c r="B62" s="1" t="s">
        <v>0</v>
      </c>
      <c r="C62" s="1" t="s">
        <v>20</v>
      </c>
      <c r="O62" s="1"/>
    </row>
    <row r="63" spans="1:15" x14ac:dyDescent="0.2">
      <c r="A63">
        <v>0.05</v>
      </c>
      <c r="B63" s="4">
        <v>33.1</v>
      </c>
      <c r="C63" s="1">
        <f>(B63-13.543)*150/200/B14</f>
        <v>1.2681051873198848</v>
      </c>
      <c r="O63" s="1"/>
    </row>
    <row r="64" spans="1:15" x14ac:dyDescent="0.2">
      <c r="A64">
        <v>0.1</v>
      </c>
      <c r="B64" s="4">
        <v>42.4</v>
      </c>
      <c r="C64" s="1">
        <f t="shared" ref="C64:C67" si="3">(B64-13.543)*150/200/B15</f>
        <v>0.92490384615384624</v>
      </c>
      <c r="O64" s="1"/>
    </row>
    <row r="65" spans="1:15" x14ac:dyDescent="0.2">
      <c r="A65">
        <v>0.2</v>
      </c>
      <c r="B65" s="4">
        <v>75.400000000000006</v>
      </c>
      <c r="C65" s="1">
        <f t="shared" si="3"/>
        <v>0.99129807692307714</v>
      </c>
    </row>
    <row r="66" spans="1:15" x14ac:dyDescent="0.2">
      <c r="A66">
        <v>0.5</v>
      </c>
      <c r="B66" s="4">
        <v>181.9</v>
      </c>
      <c r="C66" s="1">
        <f t="shared" si="3"/>
        <v>1.0746191489361701</v>
      </c>
    </row>
    <row r="67" spans="1:15" x14ac:dyDescent="0.2">
      <c r="A67">
        <v>1</v>
      </c>
      <c r="B67" s="4">
        <v>337.1</v>
      </c>
      <c r="C67" s="1">
        <f t="shared" si="3"/>
        <v>1.0550771739130436</v>
      </c>
    </row>
    <row r="68" spans="1:15" x14ac:dyDescent="0.2">
      <c r="N68" s="1"/>
      <c r="O68" s="1"/>
    </row>
    <row r="69" spans="1:15" x14ac:dyDescent="0.2">
      <c r="C69">
        <f>AVERAGE(C63:C67)</f>
        <v>1.0628006866492044</v>
      </c>
      <c r="N69" s="1"/>
      <c r="O69" s="1"/>
    </row>
    <row r="70" spans="1:15" x14ac:dyDescent="0.2">
      <c r="A70" t="s">
        <v>33</v>
      </c>
      <c r="C70">
        <f>STDEV(C63:C67)</f>
        <v>0.12891608560581247</v>
      </c>
      <c r="N70" s="1"/>
      <c r="O70" s="1"/>
    </row>
    <row r="71" spans="1:15" x14ac:dyDescent="0.2">
      <c r="N71" s="1"/>
      <c r="O71" s="1"/>
    </row>
    <row r="72" spans="1:15" x14ac:dyDescent="0.2">
      <c r="A72" t="s">
        <v>42</v>
      </c>
      <c r="B72">
        <f>13.543/325.5*635/135/416.64*1000</f>
        <v>0.4697241398325751</v>
      </c>
      <c r="N72" s="1"/>
      <c r="O72" s="1"/>
    </row>
    <row r="73" spans="1:15" x14ac:dyDescent="0.2">
      <c r="N73" s="1"/>
      <c r="O73" s="1"/>
    </row>
    <row r="74" spans="1:15" x14ac:dyDescent="0.2">
      <c r="N74" s="1"/>
      <c r="O74" s="1"/>
    </row>
    <row r="75" spans="1:15" x14ac:dyDescent="0.2">
      <c r="N75" s="1"/>
      <c r="O75" s="1"/>
    </row>
    <row r="76" spans="1:15" x14ac:dyDescent="0.2">
      <c r="O76" s="1"/>
    </row>
    <row r="77" spans="1:15" x14ac:dyDescent="0.2">
      <c r="A77" s="3" t="s">
        <v>19</v>
      </c>
      <c r="B77" t="s">
        <v>29</v>
      </c>
    </row>
    <row r="78" spans="1:15" x14ac:dyDescent="0.2">
      <c r="A78" s="1" t="s">
        <v>24</v>
      </c>
      <c r="B78" s="1" t="s">
        <v>0</v>
      </c>
      <c r="C78" s="1" t="s">
        <v>20</v>
      </c>
    </row>
    <row r="79" spans="1:15" x14ac:dyDescent="0.2">
      <c r="A79">
        <v>0.05</v>
      </c>
      <c r="B79" s="4">
        <v>20.100000000000001</v>
      </c>
      <c r="C79" s="1">
        <f>(B79-3.3611)*150/200/B14</f>
        <v>1.0853753602305474</v>
      </c>
    </row>
    <row r="80" spans="1:15" x14ac:dyDescent="0.2">
      <c r="A80">
        <v>0.1</v>
      </c>
      <c r="B80" s="4">
        <v>31.3</v>
      </c>
      <c r="C80" s="1">
        <f t="shared" ref="C80:C83" si="4">(B80-3.3611)*150/200/B15</f>
        <v>0.89547756410256418</v>
      </c>
    </row>
    <row r="81" spans="1:15" x14ac:dyDescent="0.2">
      <c r="A81">
        <v>0.2</v>
      </c>
      <c r="B81" s="4">
        <v>63</v>
      </c>
      <c r="C81" s="1">
        <f t="shared" si="4"/>
        <v>0.95575160256410263</v>
      </c>
    </row>
    <row r="82" spans="1:15" x14ac:dyDescent="0.2">
      <c r="A82">
        <v>0.5</v>
      </c>
      <c r="B82" s="4">
        <v>145.69999999999999</v>
      </c>
      <c r="C82" s="1">
        <f t="shared" si="4"/>
        <v>0.90854617021276585</v>
      </c>
    </row>
    <row r="83" spans="1:15" x14ac:dyDescent="0.2">
      <c r="A83">
        <v>1</v>
      </c>
      <c r="B83" s="4">
        <v>297.10000000000002</v>
      </c>
      <c r="C83" s="1">
        <f t="shared" si="4"/>
        <v>0.9578442391304347</v>
      </c>
    </row>
    <row r="85" spans="1:15" x14ac:dyDescent="0.2">
      <c r="C85">
        <f>AVERAGE(C79:C83)</f>
        <v>0.96059898724808301</v>
      </c>
    </row>
    <row r="86" spans="1:15" x14ac:dyDescent="0.2">
      <c r="A86" t="s">
        <v>34</v>
      </c>
      <c r="C86">
        <f>STDEV(C79:C83)</f>
        <v>7.5084160353457968E-2</v>
      </c>
      <c r="N86" s="1"/>
      <c r="O86" s="1"/>
    </row>
    <row r="87" spans="1:15" x14ac:dyDescent="0.2">
      <c r="N87" s="1"/>
      <c r="O87" s="1"/>
    </row>
    <row r="88" spans="1:15" x14ac:dyDescent="0.2">
      <c r="A88" t="s">
        <v>42</v>
      </c>
      <c r="B88">
        <f>3.3611/292.25*750/250/416.64*1000</f>
        <v>8.2810843093273634E-2</v>
      </c>
      <c r="N88" s="1"/>
      <c r="O88" s="1"/>
    </row>
    <row r="89" spans="1:15" x14ac:dyDescent="0.2">
      <c r="N89" s="1"/>
      <c r="O89" s="1"/>
    </row>
    <row r="90" spans="1:15" x14ac:dyDescent="0.2">
      <c r="N90" s="1"/>
      <c r="O90" s="1"/>
    </row>
    <row r="91" spans="1:15" x14ac:dyDescent="0.2">
      <c r="N91" s="1"/>
      <c r="O91" s="1"/>
    </row>
    <row r="92" spans="1:15" x14ac:dyDescent="0.2">
      <c r="A92" s="1"/>
      <c r="B92" s="1"/>
      <c r="C92" s="1"/>
      <c r="N92" s="1"/>
      <c r="O92" s="1"/>
    </row>
    <row r="93" spans="1:15" x14ac:dyDescent="0.2">
      <c r="A93" s="1"/>
      <c r="B93" s="1"/>
      <c r="C93" s="1"/>
      <c r="O93" s="1"/>
    </row>
    <row r="94" spans="1:15" x14ac:dyDescent="0.2">
      <c r="A94" s="3" t="s">
        <v>15</v>
      </c>
      <c r="B94" t="s">
        <v>26</v>
      </c>
    </row>
    <row r="95" spans="1:15" x14ac:dyDescent="0.2">
      <c r="A95" s="1" t="s">
        <v>24</v>
      </c>
      <c r="B95" s="1" t="s">
        <v>0</v>
      </c>
      <c r="C95" s="1" t="s">
        <v>20</v>
      </c>
      <c r="N95" s="3" t="s">
        <v>15</v>
      </c>
      <c r="O95" t="s">
        <v>38</v>
      </c>
    </row>
    <row r="96" spans="1:15" x14ac:dyDescent="0.2">
      <c r="A96">
        <v>0.05</v>
      </c>
      <c r="B96" s="4">
        <v>13.7</v>
      </c>
      <c r="C96" s="1">
        <f>B96*150/200/B14</f>
        <v>0.88832853025936587</v>
      </c>
      <c r="N96" s="1" t="s">
        <v>24</v>
      </c>
      <c r="O96" s="1" t="s">
        <v>0</v>
      </c>
    </row>
    <row r="97" spans="1:15" x14ac:dyDescent="0.2">
      <c r="A97">
        <v>0.1</v>
      </c>
      <c r="B97" s="4">
        <v>34.200000000000003</v>
      </c>
      <c r="C97" s="1">
        <f t="shared" ref="C97:C100" si="5">B97*150/200/B15</f>
        <v>1.0961538461538463</v>
      </c>
      <c r="N97">
        <v>0.05</v>
      </c>
      <c r="O97" s="1">
        <v>68</v>
      </c>
    </row>
    <row r="98" spans="1:15" x14ac:dyDescent="0.2">
      <c r="A98">
        <v>0.2</v>
      </c>
      <c r="B98" s="4">
        <v>60.3</v>
      </c>
      <c r="C98" s="1">
        <f t="shared" si="5"/>
        <v>0.96634615384615397</v>
      </c>
      <c r="N98">
        <v>0.1</v>
      </c>
      <c r="O98" s="1">
        <v>91.9</v>
      </c>
    </row>
    <row r="99" spans="1:15" x14ac:dyDescent="0.2">
      <c r="A99">
        <v>0.5</v>
      </c>
      <c r="B99" s="4">
        <v>168.2</v>
      </c>
      <c r="C99" s="1">
        <f t="shared" si="5"/>
        <v>1.0736170212765959</v>
      </c>
      <c r="N99">
        <v>0.2</v>
      </c>
      <c r="O99" s="1">
        <v>120.6</v>
      </c>
    </row>
    <row r="100" spans="1:15" x14ac:dyDescent="0.2">
      <c r="A100">
        <v>1</v>
      </c>
      <c r="B100" s="4">
        <v>321.3</v>
      </c>
      <c r="C100" s="1">
        <f t="shared" si="5"/>
        <v>1.0477173913043478</v>
      </c>
      <c r="N100">
        <v>0.5</v>
      </c>
      <c r="O100" s="1">
        <v>234.4</v>
      </c>
    </row>
    <row r="101" spans="1:15" x14ac:dyDescent="0.2">
      <c r="N101">
        <v>1</v>
      </c>
      <c r="O101" s="1">
        <v>404.8</v>
      </c>
    </row>
    <row r="102" spans="1:15" x14ac:dyDescent="0.2">
      <c r="A102" t="s">
        <v>35</v>
      </c>
      <c r="C102">
        <f>AVERAGE(C96:C100)</f>
        <v>1.0144325885680618</v>
      </c>
    </row>
    <row r="103" spans="1:15" x14ac:dyDescent="0.2">
      <c r="C103">
        <f>STDEV(C96:C100)</f>
        <v>8.5883027770063347E-2</v>
      </c>
      <c r="N103" t="s">
        <v>37</v>
      </c>
      <c r="O103" s="1">
        <v>57.8</v>
      </c>
    </row>
    <row r="104" spans="1:15" x14ac:dyDescent="0.2">
      <c r="A104" t="s">
        <v>42</v>
      </c>
      <c r="B104" t="s">
        <v>48</v>
      </c>
    </row>
    <row r="105" spans="1:15" x14ac:dyDescent="0.2">
      <c r="N105" t="s">
        <v>39</v>
      </c>
    </row>
    <row r="109" spans="1:15" x14ac:dyDescent="0.2">
      <c r="A109" s="1"/>
      <c r="B109" s="1"/>
      <c r="C109" s="1"/>
    </row>
    <row r="110" spans="1:15" x14ac:dyDescent="0.2">
      <c r="A110" s="1"/>
      <c r="B110" s="1"/>
      <c r="C110" s="1"/>
    </row>
    <row r="111" spans="1:15" x14ac:dyDescent="0.2">
      <c r="A111" s="3" t="s">
        <v>17</v>
      </c>
      <c r="B111" t="s">
        <v>30</v>
      </c>
    </row>
    <row r="112" spans="1:15" x14ac:dyDescent="0.2">
      <c r="A112" s="1" t="s">
        <v>24</v>
      </c>
      <c r="B112" s="1" t="s">
        <v>0</v>
      </c>
      <c r="C112" s="1" t="s">
        <v>20</v>
      </c>
      <c r="K112" s="1"/>
      <c r="L112" s="1"/>
      <c r="M112" s="1"/>
    </row>
    <row r="113" spans="1:3" x14ac:dyDescent="0.2">
      <c r="A113">
        <v>0.05</v>
      </c>
      <c r="B113" s="4">
        <v>22.3</v>
      </c>
      <c r="C113" s="1">
        <f>(B113-5.9273)*150/200/B14</f>
        <v>1.0616304034582131</v>
      </c>
    </row>
    <row r="114" spans="1:3" x14ac:dyDescent="0.2">
      <c r="A114">
        <v>0.1</v>
      </c>
      <c r="B114" s="4">
        <v>41.5</v>
      </c>
      <c r="C114" s="1">
        <f t="shared" ref="C114:C117" si="6">(B114-5.9273)*150/200/B15</f>
        <v>1.140150641025641</v>
      </c>
    </row>
    <row r="115" spans="1:3" x14ac:dyDescent="0.2">
      <c r="A115">
        <v>0.2</v>
      </c>
      <c r="B115" s="4">
        <v>70.099999999999994</v>
      </c>
      <c r="C115" s="1">
        <f t="shared" si="6"/>
        <v>1.0284086538461539</v>
      </c>
    </row>
    <row r="116" spans="1:3" x14ac:dyDescent="0.2">
      <c r="A116">
        <v>0.5</v>
      </c>
      <c r="B116" s="4">
        <v>175.3</v>
      </c>
      <c r="C116" s="1">
        <f t="shared" si="6"/>
        <v>1.081102340425532</v>
      </c>
    </row>
    <row r="117" spans="1:3" x14ac:dyDescent="0.2">
      <c r="A117">
        <v>1</v>
      </c>
      <c r="B117" s="4">
        <v>340.8</v>
      </c>
      <c r="C117" s="1">
        <f t="shared" si="6"/>
        <v>1.0919761956521739</v>
      </c>
    </row>
    <row r="118" spans="1:3" x14ac:dyDescent="0.2">
      <c r="A118" s="1"/>
      <c r="B118" s="1"/>
      <c r="C118" s="1"/>
    </row>
    <row r="119" spans="1:3" x14ac:dyDescent="0.2">
      <c r="A119" t="s">
        <v>36</v>
      </c>
      <c r="B119" s="1"/>
      <c r="C119">
        <f>AVERAGE(C113:C117)</f>
        <v>1.0806536468815426</v>
      </c>
    </row>
    <row r="120" spans="1:3" x14ac:dyDescent="0.2">
      <c r="C120">
        <f>STDEV(C113:C117)</f>
        <v>4.1108748571179118E-2</v>
      </c>
    </row>
    <row r="121" spans="1:3" x14ac:dyDescent="0.2">
      <c r="A121" t="s">
        <v>42</v>
      </c>
      <c r="B121">
        <f>5.9273/335.33*2900/900/416.64*1000</f>
        <v>0.13670330859981789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VitD3</vt:lpstr>
      <vt:lpstr>25OH</vt:lpstr>
      <vt:lpstr>1,25OH2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Weng Jingwen</cp:lastModifiedBy>
  <dcterms:created xsi:type="dcterms:W3CDTF">2020-06-17T08:16:34Z</dcterms:created>
  <dcterms:modified xsi:type="dcterms:W3CDTF">2022-05-24T09:08:24Z</dcterms:modified>
</cp:coreProperties>
</file>