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irenewjw_connect_hku_hk/Documents/Vit D3/data/Formulation design/"/>
    </mc:Choice>
  </mc:AlternateContent>
  <xr:revisionPtr revIDLastSave="96" documentId="13_ncr:1_{A0B7F9C2-A05E-6948-B39E-2C7E9A257C62}" xr6:coauthVersionLast="45" xr6:coauthVersionMax="45" xr10:uidLastSave="{C4C65AA1-1E8E-6742-B5B0-F9A81F871701}"/>
  <bookViews>
    <workbookView xWindow="0" yWindow="460" windowWidth="28040" windowHeight="15940" activeTab="1" xr2:uid="{BAEEDCAB-E9F3-AF4C-93A0-477CA7CE3185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P59" i="1" l="1"/>
  <c r="P53" i="1"/>
  <c r="P47" i="1"/>
  <c r="N51" i="1" l="1"/>
  <c r="N52" i="1"/>
  <c r="N50" i="1"/>
  <c r="Q50" i="1" s="1"/>
  <c r="Q53" i="1" s="1"/>
  <c r="Q52" i="1"/>
  <c r="Q51" i="1"/>
  <c r="L58" i="1"/>
  <c r="N58" i="1" s="1"/>
  <c r="Q58" i="1" s="1"/>
  <c r="L57" i="1"/>
  <c r="N57" i="1" s="1"/>
  <c r="Q57" i="1" s="1"/>
  <c r="L56" i="1"/>
  <c r="N56" i="1" s="1"/>
  <c r="Q56" i="1" s="1"/>
  <c r="Q60" i="1" s="1"/>
  <c r="L52" i="1"/>
  <c r="L51" i="1"/>
  <c r="L50" i="1"/>
  <c r="L46" i="1"/>
  <c r="N46" i="1" s="1"/>
  <c r="Q46" i="1" s="1"/>
  <c r="L45" i="1"/>
  <c r="N45" i="1" s="1"/>
  <c r="Q45" i="1" s="1"/>
  <c r="L44" i="1"/>
  <c r="N44" i="1" s="1"/>
  <c r="Q44" i="1" s="1"/>
  <c r="L40" i="1"/>
  <c r="N40" i="1" s="1"/>
  <c r="Q40" i="1" s="1"/>
  <c r="L39" i="1"/>
  <c r="N39" i="1" s="1"/>
  <c r="Q39" i="1" s="1"/>
  <c r="L38" i="1"/>
  <c r="N38" i="1" s="1"/>
  <c r="Q38" i="1" s="1"/>
  <c r="L34" i="1"/>
  <c r="L33" i="1"/>
  <c r="L32" i="1"/>
  <c r="Q48" i="1" l="1"/>
  <c r="Q41" i="1"/>
  <c r="Q59" i="1"/>
  <c r="Q54" i="1"/>
  <c r="Q47" i="1"/>
  <c r="Q42" i="1"/>
  <c r="N33" i="1" l="1"/>
  <c r="Q33" i="1" s="1"/>
  <c r="N32" i="1"/>
  <c r="Q32" i="1" s="1"/>
  <c r="N34" i="1" l="1"/>
  <c r="Q34" i="1" s="1"/>
  <c r="Q35" i="1" s="1"/>
  <c r="Q28" i="1"/>
  <c r="L27" i="1"/>
  <c r="N27" i="1" s="1"/>
  <c r="Q27" i="1" s="1"/>
  <c r="L28" i="1"/>
  <c r="N28" i="1" s="1"/>
  <c r="L26" i="1"/>
  <c r="N26" i="1" s="1"/>
  <c r="Q26" i="1" s="1"/>
  <c r="D56" i="1"/>
  <c r="F56" i="1" s="1"/>
  <c r="F50" i="1"/>
  <c r="D50" i="1"/>
  <c r="D44" i="1"/>
  <c r="F44" i="1" s="1"/>
  <c r="D38" i="1"/>
  <c r="F38" i="1" s="1"/>
  <c r="D32" i="1"/>
  <c r="F32" i="1" s="1"/>
  <c r="D26" i="1"/>
  <c r="K38" i="2"/>
  <c r="L38" i="2" s="1"/>
  <c r="N38" i="2" s="1"/>
  <c r="K37" i="2"/>
  <c r="L37" i="2" s="1"/>
  <c r="N37" i="2" s="1"/>
  <c r="Q36" i="2"/>
  <c r="L36" i="2"/>
  <c r="N36" i="2" s="1"/>
  <c r="K36" i="2"/>
  <c r="D36" i="2"/>
  <c r="F36" i="2" s="1"/>
  <c r="K33" i="2"/>
  <c r="L33" i="2" s="1"/>
  <c r="N33" i="2" s="1"/>
  <c r="H33" i="2"/>
  <c r="J33" i="2" s="1"/>
  <c r="Q32" i="2"/>
  <c r="K32" i="2"/>
  <c r="L32" i="2" s="1"/>
  <c r="N32" i="2" s="1"/>
  <c r="Q31" i="2"/>
  <c r="K31" i="2"/>
  <c r="L31" i="2" s="1"/>
  <c r="N31" i="2" s="1"/>
  <c r="F31" i="2"/>
  <c r="D31" i="2"/>
  <c r="K28" i="2"/>
  <c r="L28" i="2" s="1"/>
  <c r="N28" i="2" s="1"/>
  <c r="K27" i="2"/>
  <c r="L27" i="2" s="1"/>
  <c r="N27" i="2" s="1"/>
  <c r="Q26" i="2"/>
  <c r="K26" i="2"/>
  <c r="L26" i="2" s="1"/>
  <c r="N26" i="2" s="1"/>
  <c r="F26" i="2"/>
  <c r="D26" i="2"/>
  <c r="B17" i="2"/>
  <c r="E15" i="2"/>
  <c r="P33" i="2" l="1"/>
  <c r="Q36" i="1"/>
  <c r="Q30" i="1"/>
  <c r="Q29" i="1"/>
  <c r="Q33" i="2"/>
  <c r="Q35" i="2" s="1"/>
  <c r="P35" i="2"/>
  <c r="P34" i="2"/>
  <c r="E15" i="1"/>
  <c r="P35" i="1" s="1"/>
  <c r="P41" i="1" l="1"/>
  <c r="Q34" i="2"/>
  <c r="J34" i="1"/>
  <c r="F26" i="1"/>
  <c r="P29" i="1" s="1"/>
  <c r="B17" i="1"/>
  <c r="P34" i="1" l="1"/>
</calcChain>
</file>

<file path=xl/sharedStrings.xml><?xml version="1.0" encoding="utf-8"?>
<sst xmlns="http://schemas.openxmlformats.org/spreadsheetml/2006/main" count="96" uniqueCount="46">
  <si>
    <t>HPLC Method</t>
  </si>
  <si>
    <t>mobile phase</t>
  </si>
  <si>
    <t>flow rate</t>
  </si>
  <si>
    <t>1mL/min</t>
  </si>
  <si>
    <t>injection volume</t>
  </si>
  <si>
    <t>column temp.</t>
  </si>
  <si>
    <t>not controlled</t>
  </si>
  <si>
    <t>wavelenght</t>
  </si>
  <si>
    <t>retention time</t>
  </si>
  <si>
    <t>column</t>
  </si>
  <si>
    <t>C18</t>
  </si>
  <si>
    <t>100% Methanol</t>
  </si>
  <si>
    <t>20 microliter</t>
  </si>
  <si>
    <t>265nm</t>
  </si>
  <si>
    <t>Formulation</t>
  </si>
  <si>
    <t>Area</t>
  </si>
  <si>
    <t>Total Drug</t>
  </si>
  <si>
    <t>Free drug</t>
  </si>
  <si>
    <t>Drug in nano</t>
  </si>
  <si>
    <t>EE</t>
  </si>
  <si>
    <t>DL</t>
  </si>
  <si>
    <t>Vol. (mL)</t>
  </si>
  <si>
    <t>Conc. (mg/mL)</t>
  </si>
  <si>
    <t>Amount (mg)</t>
  </si>
  <si>
    <t>20D3-10TPGS</t>
  </si>
  <si>
    <t>20D3-5TPGS</t>
  </si>
  <si>
    <t>10D3-10TPGS</t>
  </si>
  <si>
    <t>Add (mg)</t>
  </si>
  <si>
    <t>15 D3, 7.5 TPGS</t>
  </si>
  <si>
    <t>15 D3, 3.75 TPGS</t>
  </si>
  <si>
    <t>7.5 D3, 7.5 TPGS</t>
  </si>
  <si>
    <t>CC</t>
  </si>
  <si>
    <t>EE= (total amount of drug-free drug)/total amount of drug</t>
  </si>
  <si>
    <t>DL= amount of drug in nano/amount of nano</t>
  </si>
  <si>
    <t>Weight of nano (mg)</t>
  </si>
  <si>
    <t>LOD</t>
  </si>
  <si>
    <t>D3</t>
  </si>
  <si>
    <t>19min</t>
  </si>
  <si>
    <t>50 microliter</t>
  </si>
  <si>
    <t>9.8min</t>
  </si>
  <si>
    <t>10D-5T-1C</t>
  </si>
  <si>
    <t>20D-4T-0.8C</t>
  </si>
  <si>
    <t>30D-2T-0.4C</t>
  </si>
  <si>
    <t>40D-2T-0.4C</t>
  </si>
  <si>
    <t>40D-1T-0.2C</t>
  </si>
  <si>
    <t>50D-1T-0.2C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</si>
</sst>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Sheet1!$A$17:$A$21</c:f>
              <c:numCache>
                <c:formatCode>General</c:formatCode>
                <c:ptCount val="5"/>
                <c:pt idx="0">
                  <c:v>1E-3</c:v>
                </c:pt>
                <c:pt idx="1">
                  <c:v>0.01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Sheet1!$B$17:$B$21</c:f>
              <c:numCache>
                <c:formatCode>General</c:formatCode>
                <c:ptCount val="5"/>
                <c:pt idx="0">
                  <c:v>64.033333333333346</c:v>
                </c:pt>
                <c:pt idx="1">
                  <c:v>531</c:v>
                </c:pt>
                <c:pt idx="2">
                  <c:v>5238.2</c:v>
                </c:pt>
                <c:pt idx="3">
                  <c:v>26839.1</c:v>
                </c:pt>
                <c:pt idx="4">
                  <c:v>49694.5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0-5C4C-B136-270B2DFBE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70063"/>
        <c:axId val="439872991"/>
      </c:scatterChart>
      <c:valAx>
        <c:axId val="43987006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72991"/>
        <c:crosses val="autoZero"/>
        <c:crossBetween val="midCat"/>
      </c:valAx>
      <c:valAx>
        <c:axId val="43987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7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Sheet2!$A$17:$A$21</c:f>
              <c:numCache>
                <c:formatCode>General</c:formatCode>
                <c:ptCount val="5"/>
                <c:pt idx="0">
                  <c:v>5.0000000000000001E-4</c:v>
                </c:pt>
                <c:pt idx="1">
                  <c:v>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</c:numCache>
            </c:numRef>
          </c:xVal>
          <c:yVal>
            <c:numRef>
              <c:f>Sheet2!$B$17:$B$21</c:f>
              <c:numCache>
                <c:formatCode>General</c:formatCode>
                <c:ptCount val="5"/>
                <c:pt idx="0">
                  <c:v>64.033333333333346</c:v>
                </c:pt>
                <c:pt idx="1">
                  <c:v>128.4</c:v>
                </c:pt>
                <c:pt idx="2">
                  <c:v>1276.2</c:v>
                </c:pt>
                <c:pt idx="3">
                  <c:v>6611.1</c:v>
                </c:pt>
                <c:pt idx="4">
                  <c:v>13097.5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8E-4E45-B930-5CAC21DA2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70063"/>
        <c:axId val="439872991"/>
      </c:scatterChart>
      <c:valAx>
        <c:axId val="43987006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72991"/>
        <c:crosses val="autoZero"/>
        <c:crossBetween val="midCat"/>
      </c:valAx>
      <c:valAx>
        <c:axId val="43987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7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76200</xdr:rowOff>
    </xdr:from>
    <xdr:to>
      <xdr:col>13</xdr:col>
      <xdr:colOff>368300</xdr:colOff>
      <xdr:row>18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CF79CD-E193-9A48-AC6C-5951AE20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76200</xdr:rowOff>
    </xdr:from>
    <xdr:to>
      <xdr:col>13</xdr:col>
      <xdr:colOff>368300</xdr:colOff>
      <xdr:row>18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CA3ED-6900-0F49-A46F-8306C72CB6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D112-E76F-3344-AD34-47B14FFAE5DF}">
  <dimension ref="A1:Q39"/>
  <sheetViews>
    <sheetView workbookViewId="0">
      <selection activeCell="B8" sqref="B8"/>
    </sheetView>
  </sheetViews>
  <sheetFormatPr baseColWidth="10" defaultRowHeight="16" x14ac:dyDescent="0.2"/>
  <cols>
    <col min="1" max="1" width="19.6640625" customWidth="1"/>
    <col min="2" max="2" width="16.1640625" customWidth="1"/>
    <col min="3" max="5" width="14.83203125" customWidth="1"/>
    <col min="6" max="6" width="14.33203125" customWidth="1"/>
    <col min="10" max="10" width="13.33203125" customWidth="1"/>
    <col min="14" max="14" width="14" customWidth="1"/>
    <col min="15" max="15" width="20.1640625" customWidth="1"/>
  </cols>
  <sheetData>
    <row r="1" spans="1:5" x14ac:dyDescent="0.2">
      <c r="A1" s="1" t="s">
        <v>0</v>
      </c>
    </row>
    <row r="2" spans="1:5" x14ac:dyDescent="0.2">
      <c r="A2" s="2" t="s">
        <v>36</v>
      </c>
    </row>
    <row r="3" spans="1:5" x14ac:dyDescent="0.2">
      <c r="A3" t="s">
        <v>1</v>
      </c>
      <c r="B3" t="s">
        <v>11</v>
      </c>
    </row>
    <row r="4" spans="1:5" x14ac:dyDescent="0.2">
      <c r="A4" t="s">
        <v>2</v>
      </c>
      <c r="B4" t="s">
        <v>3</v>
      </c>
    </row>
    <row r="5" spans="1:5" x14ac:dyDescent="0.2">
      <c r="A5" t="s">
        <v>4</v>
      </c>
      <c r="B5" t="s">
        <v>12</v>
      </c>
    </row>
    <row r="6" spans="1:5" x14ac:dyDescent="0.2">
      <c r="A6" t="s">
        <v>5</v>
      </c>
      <c r="B6" t="s">
        <v>6</v>
      </c>
    </row>
    <row r="7" spans="1:5" x14ac:dyDescent="0.2">
      <c r="A7" t="s">
        <v>7</v>
      </c>
      <c r="B7" t="s">
        <v>13</v>
      </c>
    </row>
    <row r="8" spans="1:5" x14ac:dyDescent="0.2">
      <c r="A8" t="s">
        <v>8</v>
      </c>
      <c r="B8" t="s">
        <v>37</v>
      </c>
    </row>
    <row r="9" spans="1:5" x14ac:dyDescent="0.2">
      <c r="A9" t="s">
        <v>9</v>
      </c>
      <c r="B9" t="s">
        <v>10</v>
      </c>
    </row>
    <row r="11" spans="1:5" x14ac:dyDescent="0.2">
      <c r="A11" t="s">
        <v>32</v>
      </c>
    </row>
    <row r="12" spans="1:5" x14ac:dyDescent="0.2">
      <c r="A12" t="s">
        <v>33</v>
      </c>
    </row>
    <row r="15" spans="1:5" x14ac:dyDescent="0.2">
      <c r="A15" t="s">
        <v>31</v>
      </c>
      <c r="C15">
        <v>63.8</v>
      </c>
      <c r="D15" t="s">
        <v>35</v>
      </c>
      <c r="E15">
        <f>STDEV(C15:C17)*3/50506</f>
        <v>2.400577288437451E-5</v>
      </c>
    </row>
    <row r="16" spans="1:5" x14ac:dyDescent="0.2">
      <c r="A16" t="s">
        <v>22</v>
      </c>
      <c r="B16" t="s">
        <v>15</v>
      </c>
      <c r="C16">
        <v>64.5</v>
      </c>
    </row>
    <row r="17" spans="1:17" x14ac:dyDescent="0.2">
      <c r="A17">
        <v>1E-3</v>
      </c>
      <c r="B17">
        <f>AVERAGE(C15:C17)</f>
        <v>64.033333333333346</v>
      </c>
      <c r="C17">
        <v>63.8</v>
      </c>
    </row>
    <row r="18" spans="1:17" x14ac:dyDescent="0.2">
      <c r="A18">
        <v>0.01</v>
      </c>
      <c r="B18">
        <v>531</v>
      </c>
    </row>
    <row r="19" spans="1:17" x14ac:dyDescent="0.2">
      <c r="A19">
        <v>0.1</v>
      </c>
      <c r="B19">
        <v>5238.2</v>
      </c>
    </row>
    <row r="20" spans="1:17" x14ac:dyDescent="0.2">
      <c r="A20">
        <v>0.5</v>
      </c>
      <c r="B20">
        <v>26839.1</v>
      </c>
    </row>
    <row r="21" spans="1:17" x14ac:dyDescent="0.2">
      <c r="A21">
        <v>1</v>
      </c>
      <c r="B21">
        <v>49694.5</v>
      </c>
    </row>
    <row r="24" spans="1:17" x14ac:dyDescent="0.2">
      <c r="C24" s="6" t="s">
        <v>16</v>
      </c>
      <c r="D24" s="6"/>
      <c r="E24" s="6"/>
      <c r="F24" s="6"/>
      <c r="G24" s="6" t="s">
        <v>17</v>
      </c>
      <c r="H24" s="6"/>
      <c r="I24" s="6"/>
      <c r="J24" s="6"/>
      <c r="K24" s="6" t="s">
        <v>18</v>
      </c>
      <c r="L24" s="6"/>
      <c r="M24" s="6"/>
      <c r="N24" s="6"/>
      <c r="O24" s="4" t="s">
        <v>34</v>
      </c>
      <c r="P24" t="s">
        <v>19</v>
      </c>
      <c r="Q24" t="s">
        <v>20</v>
      </c>
    </row>
    <row r="25" spans="1:17" x14ac:dyDescent="0.2">
      <c r="A25" t="s">
        <v>14</v>
      </c>
      <c r="B25" t="s">
        <v>27</v>
      </c>
      <c r="C25" t="s">
        <v>15</v>
      </c>
      <c r="D25" t="s">
        <v>22</v>
      </c>
      <c r="E25" t="s">
        <v>21</v>
      </c>
      <c r="F25" t="s">
        <v>23</v>
      </c>
      <c r="G25" t="s">
        <v>15</v>
      </c>
      <c r="H25" t="s">
        <v>22</v>
      </c>
      <c r="I25" t="s">
        <v>21</v>
      </c>
      <c r="J25" t="s">
        <v>23</v>
      </c>
      <c r="K25" t="s">
        <v>15</v>
      </c>
      <c r="L25" t="s">
        <v>22</v>
      </c>
      <c r="M25" t="s">
        <v>21</v>
      </c>
      <c r="N25" t="s">
        <v>23</v>
      </c>
    </row>
    <row r="26" spans="1:17" x14ac:dyDescent="0.2">
      <c r="A26" t="s">
        <v>24</v>
      </c>
      <c r="B26" t="s">
        <v>28</v>
      </c>
      <c r="C26">
        <v>24858.6</v>
      </c>
      <c r="D26">
        <f>C26/50506*2</f>
        <v>0.98438205361739195</v>
      </c>
      <c r="E26">
        <v>15</v>
      </c>
      <c r="F26">
        <f>D26*15</f>
        <v>14.76573080426088</v>
      </c>
      <c r="G26">
        <v>0</v>
      </c>
      <c r="I26">
        <v>10.199999999999999</v>
      </c>
      <c r="J26">
        <v>0</v>
      </c>
      <c r="K26">
        <f>49987.5+6413.7</f>
        <v>56401.2</v>
      </c>
      <c r="L26">
        <f>K26/50506</f>
        <v>1.1167227656120065</v>
      </c>
      <c r="M26">
        <v>10</v>
      </c>
      <c r="N26">
        <f>L26*M26</f>
        <v>11.167227656120065</v>
      </c>
      <c r="P26">
        <v>1</v>
      </c>
      <c r="Q26">
        <f>15/(15+7.5)</f>
        <v>0.66666666666666663</v>
      </c>
    </row>
    <row r="27" spans="1:17" x14ac:dyDescent="0.2">
      <c r="G27">
        <v>0</v>
      </c>
      <c r="I27">
        <v>11.2</v>
      </c>
      <c r="J27">
        <v>0</v>
      </c>
      <c r="K27">
        <f>49949+3273.9</f>
        <v>53222.9</v>
      </c>
      <c r="L27">
        <f t="shared" ref="L27:L38" si="0">K27/50506</f>
        <v>1.0537936086801569</v>
      </c>
      <c r="M27">
        <v>10</v>
      </c>
      <c r="N27">
        <f t="shared" ref="N27:N38" si="1">L27*M27</f>
        <v>10.537936086801569</v>
      </c>
      <c r="P27">
        <v>1</v>
      </c>
    </row>
    <row r="28" spans="1:17" x14ac:dyDescent="0.2">
      <c r="G28">
        <v>0</v>
      </c>
      <c r="I28">
        <v>12.4</v>
      </c>
      <c r="J28">
        <v>0</v>
      </c>
      <c r="K28">
        <f>46460+7986.3</f>
        <v>54446.3</v>
      </c>
      <c r="L28">
        <f t="shared" si="0"/>
        <v>1.0780164732903021</v>
      </c>
      <c r="M28">
        <v>10</v>
      </c>
      <c r="N28">
        <f t="shared" si="1"/>
        <v>10.780164732903021</v>
      </c>
      <c r="P28">
        <v>1</v>
      </c>
    </row>
    <row r="29" spans="1:17" x14ac:dyDescent="0.2">
      <c r="P29">
        <v>1</v>
      </c>
    </row>
    <row r="30" spans="1:17" x14ac:dyDescent="0.2">
      <c r="P30">
        <v>0</v>
      </c>
    </row>
    <row r="31" spans="1:17" x14ac:dyDescent="0.2">
      <c r="A31" t="s">
        <v>25</v>
      </c>
      <c r="B31" t="s">
        <v>29</v>
      </c>
      <c r="C31">
        <v>24706.2</v>
      </c>
      <c r="D31">
        <f t="shared" ref="D31:D36" si="2">C31/50506*2</f>
        <v>0.97834712707401106</v>
      </c>
      <c r="E31">
        <v>15</v>
      </c>
      <c r="F31">
        <f t="shared" ref="F31:F36" si="3">D31*15</f>
        <v>14.675206906110166</v>
      </c>
      <c r="G31">
        <v>0</v>
      </c>
      <c r="I31">
        <v>13.45</v>
      </c>
      <c r="J31">
        <v>0</v>
      </c>
      <c r="K31">
        <f>54097.3+5158.4</f>
        <v>59255.700000000004</v>
      </c>
      <c r="L31">
        <f t="shared" si="0"/>
        <v>1.1732408030729022</v>
      </c>
      <c r="M31">
        <v>10</v>
      </c>
      <c r="N31">
        <f t="shared" si="1"/>
        <v>11.732408030729022</v>
      </c>
      <c r="P31">
        <v>1</v>
      </c>
      <c r="Q31">
        <f>15/(15+3.75)</f>
        <v>0.8</v>
      </c>
    </row>
    <row r="32" spans="1:17" x14ac:dyDescent="0.2">
      <c r="G32">
        <v>0</v>
      </c>
      <c r="I32">
        <v>12</v>
      </c>
      <c r="J32">
        <v>0</v>
      </c>
      <c r="K32">
        <f>53743.8+5211.2</f>
        <v>58955</v>
      </c>
      <c r="L32">
        <f t="shared" si="0"/>
        <v>1.167287055003366</v>
      </c>
      <c r="M32">
        <v>10</v>
      </c>
      <c r="N32">
        <f t="shared" si="1"/>
        <v>11.672870550033661</v>
      </c>
      <c r="P32">
        <v>1</v>
      </c>
      <c r="Q32">
        <f>15/(15+3.75)</f>
        <v>0.8</v>
      </c>
    </row>
    <row r="33" spans="1:17" x14ac:dyDescent="0.2">
      <c r="G33">
        <v>103.6</v>
      </c>
      <c r="H33">
        <f>G33/50506*2</f>
        <v>4.1024828733219817E-3</v>
      </c>
      <c r="I33">
        <v>12.8</v>
      </c>
      <c r="J33">
        <f>H33*I33</f>
        <v>5.2511780778521366E-2</v>
      </c>
      <c r="K33">
        <f>53868.3+5211.2</f>
        <v>59079.5</v>
      </c>
      <c r="L33">
        <f t="shared" si="0"/>
        <v>1.1697521086603573</v>
      </c>
      <c r="M33">
        <v>10</v>
      </c>
      <c r="N33">
        <f t="shared" si="1"/>
        <v>11.697521086603572</v>
      </c>
      <c r="P33">
        <f>(F31-J33)/F31</f>
        <v>0.99642173489515451</v>
      </c>
      <c r="Q33">
        <f xml:space="preserve"> (15*P33)/(15*P33+3.75)</f>
        <v>0.79942583396860512</v>
      </c>
    </row>
    <row r="34" spans="1:17" x14ac:dyDescent="0.2">
      <c r="P34">
        <f>AVERAGE(P31:P33)</f>
        <v>0.99880724496505147</v>
      </c>
      <c r="Q34">
        <f>AVERAGE(Q31:Q33)</f>
        <v>0.7998086113228684</v>
      </c>
    </row>
    <row r="35" spans="1:17" x14ac:dyDescent="0.2">
      <c r="P35">
        <f>STDEV(P31:P33)</f>
        <v>2.0659123215143885E-3</v>
      </c>
      <c r="Q35">
        <f>STDEV(Q31:Q33)</f>
        <v>3.3149491278540157E-4</v>
      </c>
    </row>
    <row r="36" spans="1:17" x14ac:dyDescent="0.2">
      <c r="A36" t="s">
        <v>26</v>
      </c>
      <c r="B36" t="s">
        <v>30</v>
      </c>
      <c r="C36">
        <v>12719.2</v>
      </c>
      <c r="D36">
        <f t="shared" si="2"/>
        <v>0.50367085098800146</v>
      </c>
      <c r="E36">
        <v>15</v>
      </c>
      <c r="F36">
        <f t="shared" si="3"/>
        <v>7.5550627648200219</v>
      </c>
      <c r="G36">
        <v>0</v>
      </c>
      <c r="I36">
        <v>11.6</v>
      </c>
      <c r="J36">
        <v>0</v>
      </c>
      <c r="K36">
        <f>24471.6+4302.5</f>
        <v>28774.1</v>
      </c>
      <c r="L36">
        <f t="shared" si="0"/>
        <v>0.56971646933037656</v>
      </c>
      <c r="M36">
        <v>10</v>
      </c>
      <c r="N36">
        <f t="shared" si="1"/>
        <v>5.6971646933037654</v>
      </c>
      <c r="P36">
        <v>1</v>
      </c>
      <c r="Q36">
        <f>7.5/(7.5+7.5)</f>
        <v>0.5</v>
      </c>
    </row>
    <row r="37" spans="1:17" x14ac:dyDescent="0.2">
      <c r="G37">
        <v>0</v>
      </c>
      <c r="I37">
        <v>11</v>
      </c>
      <c r="J37">
        <v>0</v>
      </c>
      <c r="K37">
        <f>27554+1110.3</f>
        <v>28664.3</v>
      </c>
      <c r="L37">
        <f t="shared" si="0"/>
        <v>0.56754247020156023</v>
      </c>
      <c r="M37">
        <v>10</v>
      </c>
      <c r="N37">
        <f t="shared" si="1"/>
        <v>5.6754247020156026</v>
      </c>
      <c r="P37">
        <v>1</v>
      </c>
    </row>
    <row r="38" spans="1:17" x14ac:dyDescent="0.2">
      <c r="G38">
        <v>0</v>
      </c>
      <c r="I38">
        <v>10.4</v>
      </c>
      <c r="J38">
        <v>0</v>
      </c>
      <c r="K38">
        <f>26450.4+2360.8</f>
        <v>28811.200000000001</v>
      </c>
      <c r="L38">
        <f t="shared" si="0"/>
        <v>0.57045103552053222</v>
      </c>
      <c r="M38">
        <v>10</v>
      </c>
      <c r="N38">
        <f t="shared" si="1"/>
        <v>5.704510355205322</v>
      </c>
      <c r="P38">
        <v>1</v>
      </c>
    </row>
    <row r="39" spans="1:17" x14ac:dyDescent="0.2">
      <c r="P39">
        <v>1</v>
      </c>
    </row>
  </sheetData>
  <mergeCells count="3">
    <mergeCell ref="C24:F24"/>
    <mergeCell ref="G24:J24"/>
    <mergeCell ref="K24:N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79F8-4729-E040-AA86-9D802A7BE80A}">
  <dimension ref="A1:Q60"/>
  <sheetViews>
    <sheetView tabSelected="1" topLeftCell="B1" workbookViewId="0">
      <selection activeCell="F16" sqref="F16"/>
    </sheetView>
  </sheetViews>
  <sheetFormatPr baseColWidth="10" defaultRowHeight="16" x14ac:dyDescent="0.2"/>
  <cols>
    <col min="1" max="1" width="19.6640625" customWidth="1"/>
    <col min="2" max="2" width="16.1640625" customWidth="1"/>
    <col min="3" max="5" width="14.83203125" customWidth="1"/>
    <col min="6" max="6" width="14.33203125" customWidth="1"/>
    <col min="10" max="10" width="13.33203125" customWidth="1"/>
    <col min="14" max="14" width="14" customWidth="1"/>
    <col min="15" max="15" width="20.1640625" customWidth="1"/>
  </cols>
  <sheetData>
    <row r="1" spans="1:6" x14ac:dyDescent="0.2">
      <c r="A1" s="1" t="s">
        <v>0</v>
      </c>
    </row>
    <row r="2" spans="1:6" x14ac:dyDescent="0.2">
      <c r="A2" s="2" t="s">
        <v>36</v>
      </c>
    </row>
    <row r="3" spans="1:6" x14ac:dyDescent="0.2">
      <c r="A3" t="s">
        <v>1</v>
      </c>
      <c r="B3" t="s">
        <v>11</v>
      </c>
    </row>
    <row r="4" spans="1:6" x14ac:dyDescent="0.2">
      <c r="A4" t="s">
        <v>2</v>
      </c>
      <c r="B4" t="s">
        <v>3</v>
      </c>
    </row>
    <row r="5" spans="1:6" x14ac:dyDescent="0.2">
      <c r="A5" t="s">
        <v>4</v>
      </c>
      <c r="B5" t="s">
        <v>38</v>
      </c>
    </row>
    <row r="6" spans="1:6" x14ac:dyDescent="0.2">
      <c r="A6" t="s">
        <v>5</v>
      </c>
      <c r="B6" t="s">
        <v>6</v>
      </c>
    </row>
    <row r="7" spans="1:6" x14ac:dyDescent="0.2">
      <c r="A7" t="s">
        <v>7</v>
      </c>
      <c r="B7" t="s">
        <v>13</v>
      </c>
    </row>
    <row r="8" spans="1:6" x14ac:dyDescent="0.2">
      <c r="A8" t="s">
        <v>8</v>
      </c>
      <c r="B8" t="s">
        <v>39</v>
      </c>
    </row>
    <row r="9" spans="1:6" x14ac:dyDescent="0.2">
      <c r="A9" t="s">
        <v>9</v>
      </c>
      <c r="B9" t="s">
        <v>10</v>
      </c>
    </row>
    <row r="11" spans="1:6" x14ac:dyDescent="0.2">
      <c r="A11" t="s">
        <v>32</v>
      </c>
    </row>
    <row r="12" spans="1:6" x14ac:dyDescent="0.2">
      <c r="A12" t="s">
        <v>33</v>
      </c>
    </row>
    <row r="15" spans="1:6" x14ac:dyDescent="0.2">
      <c r="A15" t="s">
        <v>31</v>
      </c>
      <c r="C15">
        <v>63.9</v>
      </c>
      <c r="D15" t="s">
        <v>35</v>
      </c>
      <c r="E15">
        <f>STDEV(C15:C17)*3/50506</f>
        <v>2.4729727154787094E-5</v>
      </c>
      <c r="F15">
        <f>E15*1000</f>
        <v>2.4729727154787093E-2</v>
      </c>
    </row>
    <row r="16" spans="1:6" x14ac:dyDescent="0.2">
      <c r="A16" t="s">
        <v>22</v>
      </c>
      <c r="B16" t="s">
        <v>15</v>
      </c>
      <c r="C16">
        <v>64.5</v>
      </c>
    </row>
    <row r="17" spans="1:17" x14ac:dyDescent="0.2">
      <c r="A17">
        <v>5.0000000000000001E-4</v>
      </c>
      <c r="B17">
        <f>AVERAGE(C15:C17)</f>
        <v>64.033333333333346</v>
      </c>
      <c r="C17">
        <v>63.7</v>
      </c>
    </row>
    <row r="18" spans="1:17" x14ac:dyDescent="0.2">
      <c r="A18">
        <v>1E-3</v>
      </c>
      <c r="B18">
        <v>128.4</v>
      </c>
    </row>
    <row r="19" spans="1:17" x14ac:dyDescent="0.2">
      <c r="A19">
        <v>0.01</v>
      </c>
      <c r="B19">
        <v>1276.2</v>
      </c>
    </row>
    <row r="20" spans="1:17" x14ac:dyDescent="0.2">
      <c r="A20">
        <v>0.05</v>
      </c>
      <c r="B20">
        <v>6611.1</v>
      </c>
    </row>
    <row r="21" spans="1:17" x14ac:dyDescent="0.2">
      <c r="A21">
        <v>0.1</v>
      </c>
      <c r="B21">
        <v>13097.5</v>
      </c>
    </row>
    <row r="24" spans="1:17" x14ac:dyDescent="0.2">
      <c r="C24" s="6" t="s">
        <v>16</v>
      </c>
      <c r="D24" s="6"/>
      <c r="E24" s="6"/>
      <c r="F24" s="6"/>
      <c r="G24" s="6" t="s">
        <v>17</v>
      </c>
      <c r="H24" s="6"/>
      <c r="I24" s="6"/>
      <c r="J24" s="6"/>
      <c r="K24" s="6" t="s">
        <v>18</v>
      </c>
      <c r="L24" s="6"/>
      <c r="M24" s="6"/>
      <c r="N24" s="6"/>
      <c r="O24" s="3" t="s">
        <v>34</v>
      </c>
      <c r="P24" t="s">
        <v>19</v>
      </c>
      <c r="Q24" t="s">
        <v>20</v>
      </c>
    </row>
    <row r="25" spans="1:17" x14ac:dyDescent="0.2">
      <c r="A25" t="s">
        <v>14</v>
      </c>
      <c r="B25" t="s">
        <v>27</v>
      </c>
      <c r="C25" t="s">
        <v>15</v>
      </c>
      <c r="D25" t="s">
        <v>22</v>
      </c>
      <c r="E25" t="s">
        <v>21</v>
      </c>
      <c r="F25" t="s">
        <v>23</v>
      </c>
      <c r="G25" t="s">
        <v>15</v>
      </c>
      <c r="H25" t="s">
        <v>22</v>
      </c>
      <c r="I25" t="s">
        <v>21</v>
      </c>
      <c r="J25" t="s">
        <v>23</v>
      </c>
      <c r="K25" t="s">
        <v>15</v>
      </c>
      <c r="L25" t="s">
        <v>22</v>
      </c>
      <c r="M25" t="s">
        <v>21</v>
      </c>
      <c r="N25" t="s">
        <v>23</v>
      </c>
    </row>
    <row r="26" spans="1:17" x14ac:dyDescent="0.2">
      <c r="A26" t="s">
        <v>40</v>
      </c>
      <c r="B26">
        <v>7.5</v>
      </c>
      <c r="C26">
        <v>13222.8</v>
      </c>
      <c r="D26">
        <f>C26/131196*5</f>
        <v>0.50393304673922978</v>
      </c>
      <c r="E26">
        <v>15</v>
      </c>
      <c r="F26">
        <f>D26*15</f>
        <v>7.5589957010884472</v>
      </c>
      <c r="G26">
        <v>0</v>
      </c>
      <c r="J26">
        <v>0</v>
      </c>
      <c r="K26">
        <v>12499.6</v>
      </c>
      <c r="L26">
        <f>K26/131196</f>
        <v>9.5274246166041646E-2</v>
      </c>
      <c r="M26">
        <v>13</v>
      </c>
      <c r="N26">
        <f>L26*13</f>
        <v>1.2385652001585414</v>
      </c>
      <c r="O26">
        <v>2.0699999999999998</v>
      </c>
      <c r="P26">
        <v>1</v>
      </c>
      <c r="Q26">
        <f>N26/O26</f>
        <v>0.59834067640509248</v>
      </c>
    </row>
    <row r="27" spans="1:17" x14ac:dyDescent="0.2">
      <c r="G27">
        <v>0</v>
      </c>
      <c r="J27">
        <v>0</v>
      </c>
      <c r="K27">
        <v>12489.8</v>
      </c>
      <c r="L27">
        <f t="shared" ref="L27:L28" si="0">K27/131196</f>
        <v>9.5199548766730688E-2</v>
      </c>
      <c r="M27">
        <v>13</v>
      </c>
      <c r="N27">
        <f t="shared" ref="N27:N28" si="1">L27*13</f>
        <v>1.237594133967499</v>
      </c>
      <c r="O27">
        <v>2.0699999999999998</v>
      </c>
      <c r="P27">
        <v>1</v>
      </c>
      <c r="Q27">
        <f t="shared" ref="Q27:Q28" si="2">N27/O27</f>
        <v>0.59787156230313965</v>
      </c>
    </row>
    <row r="28" spans="1:17" x14ac:dyDescent="0.2">
      <c r="G28">
        <v>0</v>
      </c>
      <c r="J28">
        <v>0</v>
      </c>
      <c r="K28">
        <v>12498.9</v>
      </c>
      <c r="L28">
        <f t="shared" si="0"/>
        <v>9.5268910637519438E-2</v>
      </c>
      <c r="M28">
        <v>13</v>
      </c>
      <c r="N28">
        <f t="shared" si="1"/>
        <v>1.2384958382877527</v>
      </c>
      <c r="O28">
        <v>2.0699999999999998</v>
      </c>
      <c r="P28">
        <v>1</v>
      </c>
      <c r="Q28">
        <f t="shared" si="2"/>
        <v>0.598307168254953</v>
      </c>
    </row>
    <row r="29" spans="1:17" x14ac:dyDescent="0.2">
      <c r="P29">
        <f>(F26-E15*15)/F26</f>
        <v>0.99995092656194151</v>
      </c>
      <c r="Q29">
        <f>AVERAGE(Q26:Q28)</f>
        <v>0.59817313565439501</v>
      </c>
    </row>
    <row r="30" spans="1:17" x14ac:dyDescent="0.2">
      <c r="Q30">
        <f>STDEV(Q26:Q28)</f>
        <v>2.6170701876716937E-4</v>
      </c>
    </row>
    <row r="32" spans="1:17" x14ac:dyDescent="0.2">
      <c r="A32" t="s">
        <v>41</v>
      </c>
      <c r="B32">
        <v>15</v>
      </c>
      <c r="C32">
        <v>25972.6</v>
      </c>
      <c r="D32">
        <f>C32/131196*5</f>
        <v>0.98983962925698943</v>
      </c>
      <c r="E32">
        <v>15</v>
      </c>
      <c r="F32">
        <f>D32*15</f>
        <v>14.847594438854841</v>
      </c>
      <c r="G32">
        <v>0</v>
      </c>
      <c r="J32">
        <v>0</v>
      </c>
      <c r="K32">
        <v>52104.5</v>
      </c>
      <c r="L32">
        <f>K32/131196</f>
        <v>0.39715006555077897</v>
      </c>
      <c r="M32">
        <v>13</v>
      </c>
      <c r="N32">
        <f>L32*13</f>
        <v>5.1629508521601268</v>
      </c>
      <c r="O32">
        <v>6.53</v>
      </c>
      <c r="P32">
        <v>1</v>
      </c>
      <c r="Q32">
        <f>N32/O32</f>
        <v>0.79065097276571616</v>
      </c>
    </row>
    <row r="33" spans="1:17" x14ac:dyDescent="0.2">
      <c r="G33">
        <v>0</v>
      </c>
      <c r="J33">
        <v>0</v>
      </c>
      <c r="K33">
        <v>52175.4</v>
      </c>
      <c r="L33">
        <f t="shared" ref="L33:L34" si="3">K33/131196</f>
        <v>0.39769047836824295</v>
      </c>
      <c r="M33">
        <v>13</v>
      </c>
      <c r="N33">
        <f t="shared" ref="N33:N34" si="4">L33*13</f>
        <v>5.1699762187871583</v>
      </c>
      <c r="O33">
        <v>6.53</v>
      </c>
      <c r="P33">
        <v>1</v>
      </c>
      <c r="Q33">
        <f t="shared" ref="Q33:Q34" si="5">N33/O33</f>
        <v>0.79172683289236723</v>
      </c>
    </row>
    <row r="34" spans="1:17" x14ac:dyDescent="0.2">
      <c r="G34">
        <v>0</v>
      </c>
      <c r="J34">
        <f>H34*I34</f>
        <v>0</v>
      </c>
      <c r="K34">
        <v>38777.800000000003</v>
      </c>
      <c r="L34">
        <f t="shared" si="3"/>
        <v>0.29557151132656484</v>
      </c>
      <c r="M34">
        <v>13</v>
      </c>
      <c r="N34">
        <f t="shared" si="4"/>
        <v>3.8424296472453427</v>
      </c>
      <c r="O34">
        <v>4.66</v>
      </c>
      <c r="P34">
        <f>(F32-J34)/F32</f>
        <v>1</v>
      </c>
      <c r="Q34">
        <f t="shared" si="5"/>
        <v>0.82455571829299201</v>
      </c>
    </row>
    <row r="35" spans="1:17" x14ac:dyDescent="0.2">
      <c r="P35">
        <f>(F32-E15*15)/F32</f>
        <v>0.99997501643051678</v>
      </c>
      <c r="Q35">
        <f>AVERAGE(Q32:Q34)</f>
        <v>0.80231117465035851</v>
      </c>
    </row>
    <row r="36" spans="1:17" x14ac:dyDescent="0.2">
      <c r="Q36">
        <f>STDEV(Q32:Q34)</f>
        <v>1.9271848903382384E-2</v>
      </c>
    </row>
    <row r="38" spans="1:17" x14ac:dyDescent="0.2">
      <c r="A38" t="s">
        <v>42</v>
      </c>
      <c r="B38">
        <v>22.5</v>
      </c>
      <c r="C38">
        <v>37623.800000000003</v>
      </c>
      <c r="D38">
        <f>C38/131196*5</f>
        <v>1.433877557242599</v>
      </c>
      <c r="E38">
        <v>15</v>
      </c>
      <c r="F38">
        <f>D38*15</f>
        <v>21.508163358638985</v>
      </c>
      <c r="G38">
        <v>0</v>
      </c>
      <c r="J38">
        <v>0</v>
      </c>
      <c r="K38">
        <v>18104.8</v>
      </c>
      <c r="L38">
        <f>K38/131196</f>
        <v>0.1379981096984664</v>
      </c>
      <c r="M38">
        <v>11</v>
      </c>
      <c r="N38">
        <f>L38*11</f>
        <v>1.5179792066831304</v>
      </c>
      <c r="O38">
        <v>1.63</v>
      </c>
      <c r="P38">
        <v>1</v>
      </c>
      <c r="Q38">
        <f>N38/O38</f>
        <v>0.93127558692216594</v>
      </c>
    </row>
    <row r="39" spans="1:17" x14ac:dyDescent="0.2">
      <c r="G39">
        <v>0</v>
      </c>
      <c r="J39">
        <v>0</v>
      </c>
      <c r="K39">
        <v>18093.900000000001</v>
      </c>
      <c r="L39">
        <f t="shared" ref="L39:L40" si="6">K39/131196</f>
        <v>0.13791502789719201</v>
      </c>
      <c r="M39">
        <v>11</v>
      </c>
      <c r="N39">
        <f t="shared" ref="N39:N40" si="7">L39*11</f>
        <v>1.517065306869112</v>
      </c>
      <c r="O39">
        <v>1.63</v>
      </c>
      <c r="P39">
        <v>1</v>
      </c>
      <c r="Q39">
        <f t="shared" ref="Q39:Q40" si="8">N39/O39</f>
        <v>0.93071491218963931</v>
      </c>
    </row>
    <row r="40" spans="1:17" x14ac:dyDescent="0.2">
      <c r="G40">
        <v>0</v>
      </c>
      <c r="J40">
        <v>0</v>
      </c>
      <c r="K40">
        <v>32580</v>
      </c>
      <c r="L40">
        <f t="shared" si="6"/>
        <v>0.24833074179090825</v>
      </c>
      <c r="M40">
        <v>11</v>
      </c>
      <c r="N40">
        <f t="shared" si="7"/>
        <v>2.7316381596999908</v>
      </c>
      <c r="O40">
        <v>2.91</v>
      </c>
      <c r="P40">
        <v>1</v>
      </c>
      <c r="Q40">
        <f t="shared" si="8"/>
        <v>0.93870727137456722</v>
      </c>
    </row>
    <row r="41" spans="1:17" x14ac:dyDescent="0.2">
      <c r="P41">
        <f>(F38-E15*15)/F38</f>
        <v>0.99998275325042241</v>
      </c>
      <c r="Q41">
        <f>AVERAGE(Q38:Q40)</f>
        <v>0.93356592349545753</v>
      </c>
    </row>
    <row r="42" spans="1:17" x14ac:dyDescent="0.2">
      <c r="Q42">
        <f>STDEV(Q38:Q40)</f>
        <v>4.4613543402696717E-3</v>
      </c>
    </row>
    <row r="44" spans="1:17" x14ac:dyDescent="0.2">
      <c r="A44" t="s">
        <v>43</v>
      </c>
      <c r="B44">
        <v>30</v>
      </c>
      <c r="C44">
        <v>48830.6</v>
      </c>
      <c r="D44">
        <f>C44/131196*5</f>
        <v>1.8609789932619898</v>
      </c>
      <c r="E44">
        <v>15</v>
      </c>
      <c r="F44">
        <f>D44*15</f>
        <v>27.914684898929846</v>
      </c>
      <c r="G44">
        <v>0</v>
      </c>
      <c r="J44">
        <v>0</v>
      </c>
      <c r="K44">
        <v>15249.8</v>
      </c>
      <c r="L44">
        <f>K44/131196</f>
        <v>0.11623677551144851</v>
      </c>
      <c r="M44">
        <v>11</v>
      </c>
      <c r="N44">
        <f>L44*11</f>
        <v>1.2786045306259335</v>
      </c>
      <c r="O44">
        <v>1.3</v>
      </c>
      <c r="P44">
        <v>1</v>
      </c>
      <c r="Q44">
        <f>N44/O44</f>
        <v>0.98354194663533345</v>
      </c>
    </row>
    <row r="45" spans="1:17" x14ac:dyDescent="0.2">
      <c r="G45">
        <v>0</v>
      </c>
      <c r="J45">
        <v>0</v>
      </c>
      <c r="K45">
        <v>15234.6</v>
      </c>
      <c r="L45">
        <f t="shared" ref="L45:L46" si="9">K45/131196</f>
        <v>0.11612091832068051</v>
      </c>
      <c r="M45">
        <v>11</v>
      </c>
      <c r="N45">
        <f t="shared" ref="N45:N46" si="10">L45*11</f>
        <v>1.2773301015274856</v>
      </c>
      <c r="O45">
        <v>1.3</v>
      </c>
      <c r="P45">
        <v>1</v>
      </c>
      <c r="Q45">
        <f t="shared" ref="Q45:Q46" si="11">N45/O45</f>
        <v>0.98256161655960428</v>
      </c>
    </row>
    <row r="46" spans="1:17" x14ac:dyDescent="0.2">
      <c r="G46">
        <v>0</v>
      </c>
      <c r="J46">
        <v>0</v>
      </c>
      <c r="K46">
        <v>51481.599999999999</v>
      </c>
      <c r="L46">
        <f t="shared" si="9"/>
        <v>0.39240220738437148</v>
      </c>
      <c r="M46">
        <v>11</v>
      </c>
      <c r="N46">
        <f t="shared" si="10"/>
        <v>4.3164242812280866</v>
      </c>
      <c r="O46">
        <v>5.3</v>
      </c>
      <c r="P46">
        <v>1</v>
      </c>
      <c r="Q46">
        <f t="shared" si="11"/>
        <v>0.81441967570341256</v>
      </c>
    </row>
    <row r="47" spans="1:17" x14ac:dyDescent="0.2">
      <c r="P47">
        <f>(F44-$E$15*15)/F44</f>
        <v>0.99998671144207207</v>
      </c>
      <c r="Q47">
        <f>AVERAGE(Q44:Q46)</f>
        <v>0.9268410796327835</v>
      </c>
    </row>
    <row r="48" spans="1:17" x14ac:dyDescent="0.2">
      <c r="Q48">
        <f>STDEV(Q44:Q46)</f>
        <v>9.7361025610109606E-2</v>
      </c>
    </row>
    <row r="50" spans="1:17" x14ac:dyDescent="0.2">
      <c r="A50" s="5" t="s">
        <v>44</v>
      </c>
      <c r="B50" s="5">
        <v>30</v>
      </c>
      <c r="C50" s="5">
        <v>48699.9</v>
      </c>
      <c r="D50">
        <f>C50/131196*5</f>
        <v>1.8559978962773256</v>
      </c>
      <c r="E50">
        <v>15</v>
      </c>
      <c r="F50">
        <f>D50*15</f>
        <v>27.839968444159883</v>
      </c>
      <c r="G50" s="5">
        <v>0</v>
      </c>
      <c r="H50" s="5"/>
      <c r="I50" s="5"/>
      <c r="J50" s="5">
        <v>0</v>
      </c>
      <c r="K50" s="5">
        <v>25002.3</v>
      </c>
      <c r="L50">
        <f>K50/131196</f>
        <v>0.19057212110125307</v>
      </c>
      <c r="M50">
        <v>12</v>
      </c>
      <c r="N50">
        <f>L50*12</f>
        <v>2.2868654532150368</v>
      </c>
      <c r="O50" s="5">
        <v>2.4</v>
      </c>
      <c r="P50" s="5">
        <v>1</v>
      </c>
      <c r="Q50">
        <f>N50/O50</f>
        <v>0.95286060550626539</v>
      </c>
    </row>
    <row r="51" spans="1:17" x14ac:dyDescent="0.2">
      <c r="A51" s="5"/>
      <c r="B51" s="5"/>
      <c r="C51" s="5"/>
      <c r="D51" s="5"/>
      <c r="E51" s="5"/>
      <c r="F51" s="5"/>
      <c r="G51" s="5">
        <v>0</v>
      </c>
      <c r="H51" s="5"/>
      <c r="I51" s="5"/>
      <c r="J51" s="5">
        <v>0</v>
      </c>
      <c r="K51" s="5">
        <v>24977</v>
      </c>
      <c r="L51">
        <f t="shared" ref="L51:L52" si="12">K51/131196</f>
        <v>0.19037927985609318</v>
      </c>
      <c r="M51">
        <v>12</v>
      </c>
      <c r="N51">
        <f t="shared" ref="N51:N52" si="13">L51*12</f>
        <v>2.2845513582731183</v>
      </c>
      <c r="O51" s="5">
        <v>2.4</v>
      </c>
      <c r="P51" s="5">
        <v>1</v>
      </c>
      <c r="Q51">
        <f t="shared" ref="Q51:Q52" si="14">N51/O51</f>
        <v>0.95189639928046599</v>
      </c>
    </row>
    <row r="52" spans="1:17" x14ac:dyDescent="0.2">
      <c r="A52" s="5"/>
      <c r="B52" s="5"/>
      <c r="C52" s="5"/>
      <c r="D52" s="5"/>
      <c r="E52" s="5"/>
      <c r="F52" s="5"/>
      <c r="G52" s="5">
        <v>0</v>
      </c>
      <c r="H52" s="5"/>
      <c r="I52" s="5"/>
      <c r="J52" s="5">
        <v>0</v>
      </c>
      <c r="K52" s="5">
        <v>22586.799999999999</v>
      </c>
      <c r="L52">
        <f t="shared" si="12"/>
        <v>0.17216073660782341</v>
      </c>
      <c r="M52">
        <v>12</v>
      </c>
      <c r="N52">
        <f t="shared" si="13"/>
        <v>2.065928839293881</v>
      </c>
      <c r="O52" s="5">
        <v>2.04</v>
      </c>
      <c r="P52" s="5">
        <v>1</v>
      </c>
      <c r="Q52">
        <f t="shared" si="14"/>
        <v>1.0127102153401377</v>
      </c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>
        <f>(F50-$E$15*15)/F50</f>
        <v>0.99998667577845624</v>
      </c>
      <c r="Q53">
        <f>AVERAGE(Q50:Q52)</f>
        <v>0.97248907337562296</v>
      </c>
    </row>
    <row r="54" spans="1:17" x14ac:dyDescent="0.2">
      <c r="Q54">
        <f>STDEV(Q50:Q52)</f>
        <v>3.4835866848819778E-2</v>
      </c>
    </row>
    <row r="56" spans="1:17" x14ac:dyDescent="0.2">
      <c r="A56" s="5" t="s">
        <v>45</v>
      </c>
      <c r="B56" s="5">
        <v>37.5</v>
      </c>
      <c r="C56" s="5">
        <v>55796.9</v>
      </c>
      <c r="D56">
        <f>C56/131196*5</f>
        <v>2.1264710814354095</v>
      </c>
      <c r="E56">
        <v>15</v>
      </c>
      <c r="F56">
        <f>D56*15</f>
        <v>31.897066221531144</v>
      </c>
      <c r="G56" s="5">
        <v>0</v>
      </c>
      <c r="H56" s="5"/>
      <c r="I56" s="5"/>
      <c r="J56" s="5">
        <v>0</v>
      </c>
      <c r="K56" s="5">
        <v>25373</v>
      </c>
      <c r="L56">
        <f>K56/131196</f>
        <v>0.19339766456294399</v>
      </c>
      <c r="M56">
        <v>13</v>
      </c>
      <c r="N56">
        <f>L56*13</f>
        <v>2.514169639318272</v>
      </c>
      <c r="O56" s="5">
        <v>2.63</v>
      </c>
      <c r="P56" s="5">
        <v>1</v>
      </c>
      <c r="Q56">
        <f>N56/O56</f>
        <v>0.95595803776360155</v>
      </c>
    </row>
    <row r="57" spans="1:17" x14ac:dyDescent="0.2">
      <c r="A57" s="5"/>
      <c r="B57" s="5"/>
      <c r="C57" s="5"/>
      <c r="D57" s="5"/>
      <c r="E57" s="5"/>
      <c r="F57" s="5"/>
      <c r="G57" s="5">
        <v>0</v>
      </c>
      <c r="H57" s="5"/>
      <c r="I57" s="5"/>
      <c r="J57" s="5">
        <v>0</v>
      </c>
      <c r="K57" s="5">
        <v>25345.5</v>
      </c>
      <c r="L57">
        <f t="shared" ref="L57:L58" si="15">K57/131196</f>
        <v>0.19318805451385712</v>
      </c>
      <c r="M57">
        <v>13</v>
      </c>
      <c r="N57">
        <f t="shared" ref="N57:N58" si="16">L57*13</f>
        <v>2.5114447086801426</v>
      </c>
      <c r="O57" s="5">
        <v>2.63</v>
      </c>
      <c r="P57" s="5">
        <v>1</v>
      </c>
      <c r="Q57">
        <f t="shared" ref="Q57:Q58" si="17">N57/O57</f>
        <v>0.95492194246393258</v>
      </c>
    </row>
    <row r="58" spans="1:17" x14ac:dyDescent="0.2">
      <c r="A58" s="5"/>
      <c r="B58" s="5"/>
      <c r="C58" s="5"/>
      <c r="D58" s="5"/>
      <c r="E58" s="5"/>
      <c r="F58" s="5"/>
      <c r="G58" s="5">
        <v>0</v>
      </c>
      <c r="H58" s="5"/>
      <c r="I58" s="5"/>
      <c r="J58" s="5">
        <v>0</v>
      </c>
      <c r="K58" s="5">
        <v>24925.4</v>
      </c>
      <c r="L58">
        <f t="shared" si="15"/>
        <v>0.1899859751821702</v>
      </c>
      <c r="M58">
        <v>13</v>
      </c>
      <c r="N58">
        <f t="shared" si="16"/>
        <v>2.4698176773682126</v>
      </c>
      <c r="O58" s="5">
        <v>2.2799999999999998</v>
      </c>
      <c r="P58" s="5">
        <v>1</v>
      </c>
      <c r="Q58">
        <f t="shared" si="17"/>
        <v>1.0832533672667599</v>
      </c>
    </row>
    <row r="59" spans="1:17" x14ac:dyDescent="0.2">
      <c r="P59">
        <f>(F56-$E$15*15)/F56</f>
        <v>0.99998837053211276</v>
      </c>
      <c r="Q59">
        <f>AVERAGE(Q56:Q58)</f>
        <v>0.99804444916476476</v>
      </c>
    </row>
    <row r="60" spans="1:17" x14ac:dyDescent="0.2">
      <c r="Q60">
        <f>STDEV(Q56:Q58)</f>
        <v>7.3794906100976221E-2</v>
      </c>
    </row>
  </sheetData>
  <mergeCells count="3">
    <mergeCell ref="C24:F24"/>
    <mergeCell ref="G24:J24"/>
    <mergeCell ref="K24:N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Weng Jingwen</cp:lastModifiedBy>
  <dcterms:created xsi:type="dcterms:W3CDTF">2019-03-05T07:55:44Z</dcterms:created>
  <dcterms:modified xsi:type="dcterms:W3CDTF">2020-12-09T06:12:26Z</dcterms:modified>
</cp:coreProperties>
</file>