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nnecthkuhk-my.sharepoint.com/personal/irenewjw_connect_hku_hk/Documents/Thesis/Data/Biodistribution/Pre-test/"/>
    </mc:Choice>
  </mc:AlternateContent>
  <xr:revisionPtr revIDLastSave="13" documentId="102_{DEB60391-9807-154F-8B6B-2DB5EC4BA0F7}" xr6:coauthVersionLast="47" xr6:coauthVersionMax="47" xr10:uidLastSave="{8CBB2A9B-74DF-E347-9543-EA1B3232758F}"/>
  <bookViews>
    <workbookView xWindow="760" yWindow="460" windowWidth="28040" windowHeight="15940" activeTab="1" xr2:uid="{97EFC4F4-A6BD-D24F-87B8-85360FEBDEEF}"/>
  </bookViews>
  <sheets>
    <sheet name="CC in vitro" sheetId="1" r:id="rId1"/>
    <sheet name="pre-test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2" i="1" l="1"/>
  <c r="E43" i="1"/>
  <c r="E28" i="1"/>
  <c r="H199" i="3" l="1"/>
  <c r="D199" i="3"/>
  <c r="H197" i="3"/>
  <c r="D197" i="3"/>
  <c r="H192" i="3"/>
  <c r="J192" i="3" s="1"/>
  <c r="D192" i="3"/>
  <c r="H190" i="3"/>
  <c r="D190" i="3"/>
  <c r="J190" i="3" s="1"/>
  <c r="J197" i="3" l="1"/>
  <c r="J199" i="3"/>
  <c r="J183" i="3"/>
  <c r="H183" i="3"/>
  <c r="H178" i="3"/>
  <c r="J178" i="3" s="1"/>
  <c r="H173" i="3"/>
  <c r="J173" i="3" s="1"/>
  <c r="D173" i="3"/>
  <c r="H168" i="3"/>
  <c r="J168" i="3" s="1"/>
  <c r="D168" i="3"/>
  <c r="H161" i="3" l="1"/>
  <c r="H159" i="3"/>
  <c r="H158" i="3"/>
  <c r="D161" i="3"/>
  <c r="D158" i="3"/>
  <c r="J158" i="3" l="1"/>
  <c r="J161" i="3"/>
  <c r="H153" i="3"/>
  <c r="H151" i="3"/>
  <c r="H145" i="3"/>
  <c r="J145" i="3" s="1"/>
  <c r="H143" i="3"/>
  <c r="J143" i="3" s="1"/>
  <c r="D153" i="3"/>
  <c r="D151" i="3"/>
  <c r="D145" i="3"/>
  <c r="D143" i="3"/>
  <c r="D138" i="3"/>
  <c r="H138" i="3"/>
  <c r="D125" i="3"/>
  <c r="D127" i="3"/>
  <c r="D129" i="3"/>
  <c r="D131" i="3"/>
  <c r="D133" i="3"/>
  <c r="H125" i="3"/>
  <c r="H127" i="3"/>
  <c r="H129" i="3"/>
  <c r="J129" i="3" s="1"/>
  <c r="H131" i="3"/>
  <c r="J131" i="3" s="1"/>
  <c r="H133" i="3"/>
  <c r="J133" i="3" s="1"/>
  <c r="J125" i="3" l="1"/>
  <c r="J138" i="3"/>
  <c r="J127" i="3"/>
  <c r="J151" i="3"/>
  <c r="J153" i="3"/>
  <c r="H123" i="3"/>
  <c r="D123" i="3"/>
  <c r="J123" i="3" l="1"/>
  <c r="D118" i="3"/>
  <c r="H118" i="3"/>
  <c r="H114" i="3"/>
  <c r="J118" i="3" l="1"/>
  <c r="P114" i="3"/>
  <c r="Q114" i="3" s="1"/>
  <c r="P110" i="3"/>
  <c r="H106" i="3"/>
  <c r="D114" i="3" s="1"/>
  <c r="D106" i="3"/>
  <c r="D110" i="3"/>
  <c r="Q110" i="3"/>
  <c r="R114" i="3" l="1"/>
  <c r="J106" i="3"/>
  <c r="R110" i="3"/>
  <c r="R12" i="1"/>
  <c r="H100" i="3" l="1"/>
  <c r="P100" i="3" l="1"/>
  <c r="L100" i="3"/>
  <c r="H96" i="3"/>
  <c r="H90" i="3"/>
  <c r="D90" i="3"/>
  <c r="D96" i="3"/>
  <c r="P78" i="3"/>
  <c r="Q78" i="3" s="1"/>
  <c r="L78" i="3"/>
  <c r="D84" i="3"/>
  <c r="J90" i="3" l="1"/>
  <c r="J96" i="3"/>
  <c r="Q100" i="3"/>
  <c r="R100" i="3" s="1"/>
  <c r="D100" i="3"/>
  <c r="H74" i="3"/>
  <c r="H73" i="3"/>
  <c r="J73" i="3" s="1"/>
  <c r="H85" i="3"/>
  <c r="J85" i="3" s="1"/>
  <c r="H84" i="3"/>
  <c r="J84" i="3" s="1"/>
  <c r="D73" i="3"/>
  <c r="J74" i="3" l="1"/>
  <c r="D78" i="3"/>
  <c r="R78" i="3" s="1"/>
  <c r="E67" i="3"/>
  <c r="D67" i="3"/>
  <c r="E65" i="3"/>
  <c r="D65" i="3"/>
  <c r="I67" i="3"/>
  <c r="H67" i="3"/>
  <c r="I65" i="3"/>
  <c r="H65" i="3"/>
  <c r="O45" i="1"/>
  <c r="O30" i="1"/>
  <c r="O14" i="1"/>
  <c r="U3" i="3" l="1"/>
  <c r="U5" i="3"/>
  <c r="U7" i="3"/>
  <c r="U11" i="3"/>
  <c r="U14" i="3"/>
  <c r="T9" i="3"/>
  <c r="T8" i="3"/>
  <c r="S16" i="3"/>
  <c r="S15" i="3"/>
  <c r="S9" i="3"/>
  <c r="S8" i="3"/>
  <c r="R3" i="3"/>
  <c r="R4" i="3"/>
  <c r="R5" i="3"/>
  <c r="R6" i="3"/>
  <c r="R7" i="3"/>
  <c r="R8" i="3"/>
  <c r="R9" i="3"/>
  <c r="R10" i="3"/>
  <c r="R11" i="3"/>
  <c r="R12" i="3"/>
  <c r="R13" i="3"/>
  <c r="R14" i="3"/>
  <c r="R15" i="3"/>
  <c r="R16" i="3"/>
  <c r="R2" i="3"/>
  <c r="P60" i="3"/>
  <c r="Q60" i="3" s="1"/>
  <c r="P58" i="3"/>
  <c r="Q58" i="3" s="1"/>
  <c r="P54" i="3"/>
  <c r="Q54" i="3" s="1"/>
  <c r="D54" i="3"/>
  <c r="P52" i="3"/>
  <c r="Q52" i="3" s="1"/>
  <c r="D52" i="3"/>
  <c r="R60" i="3" l="1"/>
  <c r="R58" i="3"/>
  <c r="R54" i="3"/>
  <c r="R52" i="3"/>
  <c r="P45" i="3" l="1"/>
  <c r="Q45" i="3" s="1"/>
  <c r="L47" i="3"/>
  <c r="L45" i="3"/>
  <c r="H45" i="3"/>
  <c r="P47" i="3"/>
  <c r="Q47" i="3" s="1"/>
  <c r="D47" i="3"/>
  <c r="D45" i="3"/>
  <c r="R45" i="3" l="1"/>
  <c r="R47" i="3"/>
  <c r="H40" i="3" l="1"/>
  <c r="P38" i="3"/>
  <c r="Q38" i="3" s="1"/>
  <c r="H38" i="3"/>
  <c r="P40" i="3"/>
  <c r="Q40" i="3" s="1"/>
  <c r="D40" i="3"/>
  <c r="D38" i="3"/>
  <c r="R40" i="3" l="1"/>
  <c r="R38" i="3"/>
  <c r="H29" i="3"/>
  <c r="P31" i="3"/>
  <c r="Q31" i="3" s="1"/>
  <c r="D31" i="3"/>
  <c r="P29" i="3"/>
  <c r="Q29" i="3" s="1"/>
  <c r="D29" i="3"/>
  <c r="R31" i="3" l="1"/>
  <c r="R29" i="3"/>
  <c r="P23" i="3"/>
  <c r="Q23" i="3" s="1"/>
  <c r="P21" i="3"/>
  <c r="Q21" i="3" s="1"/>
  <c r="D23" i="3"/>
  <c r="D21" i="3"/>
  <c r="R21" i="3" l="1"/>
  <c r="R23" i="3"/>
  <c r="K10" i="3"/>
  <c r="L10" i="3" s="1"/>
  <c r="M10" i="3" s="1"/>
  <c r="U10" i="3" s="1"/>
  <c r="K16" i="3" l="1"/>
  <c r="L16" i="3" s="1"/>
  <c r="M16" i="3" s="1"/>
  <c r="U16" i="3" s="1"/>
  <c r="K15" i="3"/>
  <c r="L15" i="3" s="1"/>
  <c r="M15" i="3" s="1"/>
  <c r="U15" i="3" s="1"/>
  <c r="K13" i="3"/>
  <c r="L13" i="3" s="1"/>
  <c r="M13" i="3" s="1"/>
  <c r="U13" i="3" s="1"/>
  <c r="K12" i="3"/>
  <c r="L12" i="3" s="1"/>
  <c r="M12" i="3" s="1"/>
  <c r="U12" i="3" s="1"/>
  <c r="K9" i="3"/>
  <c r="L9" i="3" s="1"/>
  <c r="M9" i="3" s="1"/>
  <c r="U9" i="3" s="1"/>
  <c r="K8" i="3"/>
  <c r="L8" i="3" s="1"/>
  <c r="M8" i="3" s="1"/>
  <c r="U8" i="3" s="1"/>
  <c r="K6" i="3"/>
  <c r="L6" i="3" s="1"/>
  <c r="M6" i="3" s="1"/>
  <c r="U6" i="3" s="1"/>
  <c r="K4" i="3"/>
  <c r="L4" i="3" s="1"/>
  <c r="M4" i="3" s="1"/>
  <c r="U4" i="3" s="1"/>
  <c r="K2" i="3"/>
  <c r="L2" i="3" s="1"/>
  <c r="M2" i="3" s="1"/>
  <c r="U2" i="3" s="1"/>
  <c r="B45" i="1" l="1"/>
  <c r="B30" i="1"/>
  <c r="B14" i="1"/>
</calcChain>
</file>

<file path=xl/sharedStrings.xml><?xml version="1.0" encoding="utf-8"?>
<sst xmlns="http://schemas.openxmlformats.org/spreadsheetml/2006/main" count="748" uniqueCount="92">
  <si>
    <t>VitD3</t>
  </si>
  <si>
    <t>conc. (µM)</t>
  </si>
  <si>
    <t>Area</t>
  </si>
  <si>
    <t>25(OH)-VitD3</t>
  </si>
  <si>
    <t>1a,25(OH)2-VitD3</t>
  </si>
  <si>
    <t>HPLC Method</t>
  </si>
  <si>
    <t>D3</t>
  </si>
  <si>
    <t>mobile phase</t>
  </si>
  <si>
    <t>flow rate</t>
  </si>
  <si>
    <t>injection volume</t>
  </si>
  <si>
    <t>column temp.</t>
  </si>
  <si>
    <t>not controlled</t>
  </si>
  <si>
    <t>wavelenght</t>
  </si>
  <si>
    <t>265nm</t>
  </si>
  <si>
    <t>retention time</t>
  </si>
  <si>
    <t>column</t>
  </si>
  <si>
    <t>2 mL/min</t>
  </si>
  <si>
    <t>100 microliter</t>
  </si>
  <si>
    <t>C18+guard column</t>
  </si>
  <si>
    <t>100% ACN</t>
  </si>
  <si>
    <t>Tissue</t>
  </si>
  <si>
    <t>weight (mg)</t>
  </si>
  <si>
    <t>UPW added (µL)</t>
  </si>
  <si>
    <t>Total weight (mg)</t>
  </si>
  <si>
    <t>Sample vol. (µL)</t>
  </si>
  <si>
    <t>Sample weight (mg)</t>
  </si>
  <si>
    <t>Spiking amount (nmol)</t>
  </si>
  <si>
    <t>Amount detected (nmol)</t>
  </si>
  <si>
    <t>Conc. detected (µM)</t>
  </si>
  <si>
    <t>Recovery (%)</t>
  </si>
  <si>
    <t>Plasma</t>
  </si>
  <si>
    <t>/</t>
  </si>
  <si>
    <t>Brain</t>
  </si>
  <si>
    <t>Spleen</t>
  </si>
  <si>
    <t>Liver</t>
  </si>
  <si>
    <t>Lung</t>
  </si>
  <si>
    <t>Kidney</t>
  </si>
  <si>
    <t>D3 HPLC area</t>
  </si>
  <si>
    <t>(OH)D3 area</t>
  </si>
  <si>
    <t>(OH)2D3 area</t>
  </si>
  <si>
    <t>Tissue vol. (µL)</t>
  </si>
  <si>
    <t>Spiking area</t>
  </si>
  <si>
    <t>Spiking amout (nmol)</t>
  </si>
  <si>
    <t>Wash</t>
  </si>
  <si>
    <t>Load</t>
  </si>
  <si>
    <t>Elute</t>
  </si>
  <si>
    <t>liver</t>
  </si>
  <si>
    <t>2.5, 3.6, 11.3</t>
  </si>
  <si>
    <t>Amount dtected (nmol)</t>
  </si>
  <si>
    <t>Recovery</t>
  </si>
  <si>
    <t>Dilute the sample</t>
  </si>
  <si>
    <t>New method using ACN</t>
  </si>
  <si>
    <t>ACN+Ethyl Acetate</t>
  </si>
  <si>
    <t>0.1%H3PO4 for sample pretreat, 2xelute (4x100 µL, 2x200µL)</t>
  </si>
  <si>
    <t>Elute2</t>
  </si>
  <si>
    <t>D3 amount (nmol)</t>
  </si>
  <si>
    <t>(OH)D3 amount (nmol)</t>
  </si>
  <si>
    <t>(OH)2D3 amount (nmol)</t>
  </si>
  <si>
    <t>0-2: MeOH:H2O 80:20;2-5: -&gt; 100% MeOH;5-19: 100% MeOH; 19-21: -&gt; 80:20;21-26: 80:20</t>
  </si>
  <si>
    <t>1 mL/min</t>
  </si>
  <si>
    <t>8.5, 9.5, 16; ?, 6.7, 10.2</t>
  </si>
  <si>
    <t>Test for extraction (100µL out of 300µL supernatant)</t>
  </si>
  <si>
    <t>Spiking area for D3</t>
  </si>
  <si>
    <t>(OH)D3</t>
  </si>
  <si>
    <t>Area detected</t>
  </si>
  <si>
    <t>Amount detected(nmol)</t>
  </si>
  <si>
    <t>Extraction</t>
  </si>
  <si>
    <t>New method-1 (ACN+SDS)</t>
  </si>
  <si>
    <t>no N2</t>
  </si>
  <si>
    <t>New method 2 (hexane)</t>
  </si>
  <si>
    <t>New method 3 (MeOH, ACN, SDS )</t>
  </si>
  <si>
    <t>New method 4 (MeOH, IPA, SDS )</t>
  </si>
  <si>
    <t>recovery</t>
  </si>
  <si>
    <t>LOD</t>
  </si>
  <si>
    <t>New method 5 (EtOH, H2O, Hexane )</t>
  </si>
  <si>
    <t>plasma</t>
  </si>
  <si>
    <t>lung</t>
  </si>
  <si>
    <t>spleen</t>
  </si>
  <si>
    <t>kidney</t>
  </si>
  <si>
    <t>brain</t>
  </si>
  <si>
    <t>New method 7 (E-5, 2 extraction )</t>
  </si>
  <si>
    <t>New method 8 (E-5, more Hexane &amp; EtOH )</t>
  </si>
  <si>
    <t>New method 9 (E-5, h2o --&gt; 30% KOH )</t>
  </si>
  <si>
    <t>SPE</t>
  </si>
  <si>
    <t>0-5: MeOH:0.1%TFA 70:30;5-10: -&gt; 100% MeOH;10-25: 100% MeOH; 25-30: -&gt; 70:300;30-35: 70:30</t>
  </si>
  <si>
    <t>Fixed Extraction</t>
  </si>
  <si>
    <t>SPE-1</t>
  </si>
  <si>
    <t>FBS</t>
  </si>
  <si>
    <t>NO SPE</t>
  </si>
  <si>
    <t>SPE-2</t>
  </si>
  <si>
    <t>SPE-3</t>
  </si>
  <si>
    <t>UPW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</si>
</sst>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2" fillId="2" borderId="0" xfId="0" applyFont="1" applyFill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VitD3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'CC in vitro'!$A$14:$A$18</c:f>
              <c:numCache>
                <c:formatCode>General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</c:numCache>
            </c:numRef>
          </c:xVal>
          <c:yVal>
            <c:numRef>
              <c:f>'CC in vitro'!$B$14:$B$18</c:f>
              <c:numCache>
                <c:formatCode>General</c:formatCode>
                <c:ptCount val="5"/>
                <c:pt idx="0">
                  <c:v>5.1999999999999993</c:v>
                </c:pt>
                <c:pt idx="1">
                  <c:v>49</c:v>
                </c:pt>
                <c:pt idx="2">
                  <c:v>488.9</c:v>
                </c:pt>
                <c:pt idx="3">
                  <c:v>988.1</c:v>
                </c:pt>
                <c:pt idx="4">
                  <c:v>2482.6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61-D843-AB4F-DDCB03AC90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6433264"/>
        <c:axId val="1077655712"/>
      </c:scatterChart>
      <c:valAx>
        <c:axId val="10864332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Conc. (µM)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7655712"/>
        <c:crosses val="autoZero"/>
        <c:crossBetween val="midCat"/>
      </c:valAx>
      <c:valAx>
        <c:axId val="1077655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6433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25(OH)-VitD3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'CC in vitro'!$A$30:$A$34</c:f>
              <c:numCache>
                <c:formatCode>General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</c:numCache>
            </c:numRef>
          </c:xVal>
          <c:yVal>
            <c:numRef>
              <c:f>'CC in vitro'!$B$30:$B$34</c:f>
              <c:numCache>
                <c:formatCode>General</c:formatCode>
                <c:ptCount val="5"/>
                <c:pt idx="0">
                  <c:v>3.8333333333333335</c:v>
                </c:pt>
                <c:pt idx="1">
                  <c:v>40.5</c:v>
                </c:pt>
                <c:pt idx="2">
                  <c:v>402.6</c:v>
                </c:pt>
                <c:pt idx="3">
                  <c:v>813.1</c:v>
                </c:pt>
                <c:pt idx="4">
                  <c:v>2045.6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E1-B54C-B736-0AF05EF9FF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8959952"/>
        <c:axId val="1076028400"/>
      </c:scatterChart>
      <c:valAx>
        <c:axId val="10989599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Conc. (µM)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6028400"/>
        <c:crosses val="autoZero"/>
        <c:crossBetween val="midCat"/>
      </c:valAx>
      <c:valAx>
        <c:axId val="1076028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8959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1a,25(OH)2-VitD3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'CC in vitro'!$A$45:$A$49</c:f>
              <c:numCache>
                <c:formatCode>General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</c:numCache>
            </c:numRef>
          </c:xVal>
          <c:yVal>
            <c:numRef>
              <c:f>'CC in vitro'!$B$45:$B$49</c:f>
              <c:numCache>
                <c:formatCode>General</c:formatCode>
                <c:ptCount val="5"/>
                <c:pt idx="0">
                  <c:v>3.7333333333333329</c:v>
                </c:pt>
                <c:pt idx="1">
                  <c:v>36.5</c:v>
                </c:pt>
                <c:pt idx="2">
                  <c:v>369</c:v>
                </c:pt>
                <c:pt idx="3">
                  <c:v>748.1</c:v>
                </c:pt>
                <c:pt idx="4">
                  <c:v>1879.9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28-0249-B466-8FD58624E6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9664976"/>
        <c:axId val="1116348976"/>
      </c:scatterChart>
      <c:valAx>
        <c:axId val="10996649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Conc. (µM)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6348976"/>
        <c:crosses val="autoZero"/>
        <c:crossBetween val="midCat"/>
      </c:valAx>
      <c:valAx>
        <c:axId val="1116348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9664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VitD3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'CC in vitro'!$N$14:$N$18</c:f>
              <c:numCache>
                <c:formatCode>General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</c:numCache>
            </c:numRef>
          </c:xVal>
          <c:yVal>
            <c:numRef>
              <c:f>'CC in vitro'!$O$14:$O$18</c:f>
              <c:numCache>
                <c:formatCode>General</c:formatCode>
                <c:ptCount val="5"/>
                <c:pt idx="0">
                  <c:v>10.366666666666667</c:v>
                </c:pt>
                <c:pt idx="1">
                  <c:v>100.1</c:v>
                </c:pt>
                <c:pt idx="2">
                  <c:v>988</c:v>
                </c:pt>
                <c:pt idx="3">
                  <c:v>2002.1</c:v>
                </c:pt>
                <c:pt idx="4">
                  <c:v>5063.7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3E-864A-A289-068FF10815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7452159"/>
        <c:axId val="698297679"/>
      </c:scatterChart>
      <c:valAx>
        <c:axId val="697452159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8297679"/>
        <c:crosses val="autoZero"/>
        <c:crossBetween val="midCat"/>
      </c:valAx>
      <c:valAx>
        <c:axId val="698297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74521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25(OH)-VitD3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'CC in vitro'!$N$30:$N$34</c:f>
              <c:numCache>
                <c:formatCode>General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</c:numCache>
            </c:numRef>
          </c:xVal>
          <c:yVal>
            <c:numRef>
              <c:f>'CC in vitro'!$O$30:$O$34</c:f>
              <c:numCache>
                <c:formatCode>General</c:formatCode>
                <c:ptCount val="5"/>
                <c:pt idx="0">
                  <c:v>7.7333333333333343</c:v>
                </c:pt>
                <c:pt idx="1">
                  <c:v>79</c:v>
                </c:pt>
                <c:pt idx="2">
                  <c:v>793.7</c:v>
                </c:pt>
                <c:pt idx="3">
                  <c:v>1599.8</c:v>
                </c:pt>
                <c:pt idx="4">
                  <c:v>4058.3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B45-4C4D-884B-A04BCEAD4E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8959952"/>
        <c:axId val="1076028400"/>
      </c:scatterChart>
      <c:valAx>
        <c:axId val="10989599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Conc. (µM)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6028400"/>
        <c:crosses val="autoZero"/>
        <c:crossBetween val="midCat"/>
      </c:valAx>
      <c:valAx>
        <c:axId val="1076028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8959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1a,25(OH)2-VitD3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'CC in vitro'!$N$45:$N$49</c:f>
              <c:numCache>
                <c:formatCode>General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</c:numCache>
            </c:numRef>
          </c:xVal>
          <c:yVal>
            <c:numRef>
              <c:f>'CC in vitro'!$O$45:$O$49</c:f>
              <c:numCache>
                <c:formatCode>General</c:formatCode>
                <c:ptCount val="5"/>
                <c:pt idx="0">
                  <c:v>8.5</c:v>
                </c:pt>
                <c:pt idx="1">
                  <c:v>79.8</c:v>
                </c:pt>
                <c:pt idx="2">
                  <c:v>758.5</c:v>
                </c:pt>
                <c:pt idx="3">
                  <c:v>1561.7</c:v>
                </c:pt>
                <c:pt idx="4">
                  <c:v>3853.6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725-5340-9E9A-06E6EF9FB8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9664976"/>
        <c:axId val="1116348976"/>
      </c:scatterChart>
      <c:valAx>
        <c:axId val="10996649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Conc. (µM)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6348976"/>
        <c:crosses val="autoZero"/>
        <c:crossBetween val="midCat"/>
      </c:valAx>
      <c:valAx>
        <c:axId val="1116348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9664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805616</xdr:colOff>
      <xdr:row>11</xdr:row>
      <xdr:rowOff>39511</xdr:rowOff>
    </xdr:from>
    <xdr:to>
      <xdr:col>10</xdr:col>
      <xdr:colOff>451555</xdr:colOff>
      <xdr:row>24</xdr:row>
      <xdr:rowOff>114428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4981673-AA7B-BD47-BE8F-378E0EB251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812031</xdr:colOff>
      <xdr:row>27</xdr:row>
      <xdr:rowOff>39511</xdr:rowOff>
    </xdr:from>
    <xdr:to>
      <xdr:col>10</xdr:col>
      <xdr:colOff>457970</xdr:colOff>
      <xdr:row>40</xdr:row>
      <xdr:rowOff>114428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788120F-9672-8847-82B1-CF6E510A59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42333</xdr:colOff>
      <xdr:row>42</xdr:row>
      <xdr:rowOff>52340</xdr:rowOff>
    </xdr:from>
    <xdr:to>
      <xdr:col>10</xdr:col>
      <xdr:colOff>509283</xdr:colOff>
      <xdr:row>55</xdr:row>
      <xdr:rowOff>127257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4C7ED3F-EF1C-2345-AB17-83359E9CB6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176388</xdr:colOff>
      <xdr:row>8</xdr:row>
      <xdr:rowOff>81845</xdr:rowOff>
    </xdr:from>
    <xdr:to>
      <xdr:col>23</xdr:col>
      <xdr:colOff>585611</xdr:colOff>
      <xdr:row>22</xdr:row>
      <xdr:rowOff>59267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4751F40-67F3-7547-95FD-8289612C3C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747889</xdr:colOff>
      <xdr:row>25</xdr:row>
      <xdr:rowOff>28222</xdr:rowOff>
    </xdr:from>
    <xdr:to>
      <xdr:col>22</xdr:col>
      <xdr:colOff>393828</xdr:colOff>
      <xdr:row>38</xdr:row>
      <xdr:rowOff>103139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7D70C21-72C9-3143-AF73-F37CA6DACA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0</xdr:colOff>
      <xdr:row>42</xdr:row>
      <xdr:rowOff>0</xdr:rowOff>
    </xdr:from>
    <xdr:to>
      <xdr:col>22</xdr:col>
      <xdr:colOff>466950</xdr:colOff>
      <xdr:row>55</xdr:row>
      <xdr:rowOff>74917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91F58C1-6472-674D-BC33-EF49F097A9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69C9B-4F0B-474F-A5CB-7A875918D932}">
  <dimension ref="A1:AB49"/>
  <sheetViews>
    <sheetView topLeftCell="A13" zoomScale="90" workbookViewId="0">
      <selection activeCell="E12" sqref="E12"/>
    </sheetView>
  </sheetViews>
  <sheetFormatPr baseColWidth="10" defaultRowHeight="16" x14ac:dyDescent="0.2"/>
  <cols>
    <col min="1" max="1" width="17" customWidth="1"/>
    <col min="27" max="27" width="16.1640625" customWidth="1"/>
  </cols>
  <sheetData>
    <row r="1" spans="1:28" x14ac:dyDescent="0.2">
      <c r="A1" s="2" t="s">
        <v>5</v>
      </c>
      <c r="N1" s="2" t="s">
        <v>5</v>
      </c>
      <c r="AA1" s="3" t="s">
        <v>6</v>
      </c>
    </row>
    <row r="2" spans="1:28" x14ac:dyDescent="0.2">
      <c r="A2" s="3" t="s">
        <v>6</v>
      </c>
      <c r="N2" s="3" t="s">
        <v>6</v>
      </c>
      <c r="AA2" t="s">
        <v>7</v>
      </c>
      <c r="AB2" t="s">
        <v>84</v>
      </c>
    </row>
    <row r="3" spans="1:28" x14ac:dyDescent="0.2">
      <c r="A3" t="s">
        <v>7</v>
      </c>
      <c r="B3" t="s">
        <v>19</v>
      </c>
      <c r="N3" t="s">
        <v>7</v>
      </c>
      <c r="O3" t="s">
        <v>58</v>
      </c>
      <c r="AA3" t="s">
        <v>8</v>
      </c>
      <c r="AB3" t="s">
        <v>59</v>
      </c>
    </row>
    <row r="4" spans="1:28" x14ac:dyDescent="0.2">
      <c r="A4" t="s">
        <v>8</v>
      </c>
      <c r="B4" t="s">
        <v>16</v>
      </c>
      <c r="N4" t="s">
        <v>8</v>
      </c>
      <c r="O4" t="s">
        <v>59</v>
      </c>
      <c r="AA4" t="s">
        <v>9</v>
      </c>
      <c r="AB4" t="s">
        <v>17</v>
      </c>
    </row>
    <row r="5" spans="1:28" x14ac:dyDescent="0.2">
      <c r="A5" t="s">
        <v>9</v>
      </c>
      <c r="B5" t="s">
        <v>17</v>
      </c>
      <c r="N5" t="s">
        <v>9</v>
      </c>
      <c r="O5" t="s">
        <v>17</v>
      </c>
      <c r="AA5" t="s">
        <v>10</v>
      </c>
      <c r="AB5" t="s">
        <v>11</v>
      </c>
    </row>
    <row r="6" spans="1:28" x14ac:dyDescent="0.2">
      <c r="A6" t="s">
        <v>10</v>
      </c>
      <c r="B6" t="s">
        <v>11</v>
      </c>
      <c r="N6" t="s">
        <v>10</v>
      </c>
      <c r="O6" t="s">
        <v>11</v>
      </c>
      <c r="AA6" t="s">
        <v>12</v>
      </c>
      <c r="AB6" t="s">
        <v>13</v>
      </c>
    </row>
    <row r="7" spans="1:28" x14ac:dyDescent="0.2">
      <c r="A7" t="s">
        <v>12</v>
      </c>
      <c r="B7" t="s">
        <v>13</v>
      </c>
      <c r="N7" t="s">
        <v>12</v>
      </c>
      <c r="O7" t="s">
        <v>13</v>
      </c>
      <c r="AA7" t="s">
        <v>14</v>
      </c>
    </row>
    <row r="8" spans="1:28" x14ac:dyDescent="0.2">
      <c r="A8" t="s">
        <v>14</v>
      </c>
      <c r="B8" t="s">
        <v>47</v>
      </c>
      <c r="N8" t="s">
        <v>14</v>
      </c>
      <c r="O8" t="s">
        <v>60</v>
      </c>
      <c r="AA8" t="s">
        <v>15</v>
      </c>
      <c r="AB8" t="s">
        <v>18</v>
      </c>
    </row>
    <row r="9" spans="1:28" x14ac:dyDescent="0.2">
      <c r="A9" t="s">
        <v>15</v>
      </c>
      <c r="B9" t="s">
        <v>18</v>
      </c>
      <c r="N9" t="s">
        <v>15</v>
      </c>
      <c r="O9" t="s">
        <v>18</v>
      </c>
    </row>
    <row r="12" spans="1:28" x14ac:dyDescent="0.2">
      <c r="A12" t="s">
        <v>0</v>
      </c>
      <c r="C12">
        <v>5.0999999999999996</v>
      </c>
      <c r="D12" t="s">
        <v>73</v>
      </c>
      <c r="E12">
        <f>STDEV(C12:C14)*10/49.593</f>
        <v>2.01641360675902E-2</v>
      </c>
      <c r="N12" t="s">
        <v>0</v>
      </c>
      <c r="P12">
        <v>10.6</v>
      </c>
      <c r="Q12" t="s">
        <v>73</v>
      </c>
      <c r="R12">
        <f>STDEV(P12:P14)*10/49.593</f>
        <v>6.4818628710993823E-2</v>
      </c>
    </row>
    <row r="13" spans="1:28" x14ac:dyDescent="0.2">
      <c r="A13" t="s">
        <v>1</v>
      </c>
      <c r="B13" t="s">
        <v>2</v>
      </c>
      <c r="C13">
        <v>5.3</v>
      </c>
      <c r="N13" t="s">
        <v>1</v>
      </c>
      <c r="O13" t="s">
        <v>2</v>
      </c>
      <c r="P13">
        <v>10.5</v>
      </c>
    </row>
    <row r="14" spans="1:28" x14ac:dyDescent="0.2">
      <c r="A14">
        <v>0.1</v>
      </c>
      <c r="B14">
        <f>AVERAGE(C12:C14)</f>
        <v>5.1999999999999993</v>
      </c>
      <c r="C14">
        <v>5.2</v>
      </c>
      <c r="N14">
        <v>0.1</v>
      </c>
      <c r="O14">
        <f>AVERAGE(P12:P14)</f>
        <v>10.366666666666667</v>
      </c>
      <c r="P14">
        <v>10</v>
      </c>
    </row>
    <row r="15" spans="1:28" x14ac:dyDescent="0.2">
      <c r="A15">
        <v>1</v>
      </c>
      <c r="B15">
        <v>49</v>
      </c>
      <c r="N15">
        <v>1</v>
      </c>
      <c r="O15">
        <v>100.1</v>
      </c>
    </row>
    <row r="16" spans="1:28" x14ac:dyDescent="0.2">
      <c r="A16">
        <v>10</v>
      </c>
      <c r="B16">
        <v>488.9</v>
      </c>
      <c r="N16">
        <v>10</v>
      </c>
      <c r="O16">
        <v>988</v>
      </c>
    </row>
    <row r="17" spans="1:16" x14ac:dyDescent="0.2">
      <c r="A17">
        <v>20</v>
      </c>
      <c r="B17">
        <v>988.1</v>
      </c>
      <c r="N17">
        <v>20</v>
      </c>
      <c r="O17">
        <v>2002.1</v>
      </c>
    </row>
    <row r="18" spans="1:16" x14ac:dyDescent="0.2">
      <c r="A18">
        <v>50</v>
      </c>
      <c r="B18">
        <v>2482.6</v>
      </c>
      <c r="N18">
        <v>50</v>
      </c>
      <c r="O18">
        <v>5063.7</v>
      </c>
    </row>
    <row r="28" spans="1:16" x14ac:dyDescent="0.2">
      <c r="A28" t="s">
        <v>3</v>
      </c>
      <c r="C28">
        <v>3.9</v>
      </c>
      <c r="D28" t="s">
        <v>73</v>
      </c>
      <c r="E28">
        <f>STDEV(C28:C30)*10/40.856</f>
        <v>2.8262691853809717E-2</v>
      </c>
      <c r="N28" t="s">
        <v>3</v>
      </c>
      <c r="P28">
        <v>7.9</v>
      </c>
    </row>
    <row r="29" spans="1:16" x14ac:dyDescent="0.2">
      <c r="A29" t="s">
        <v>1</v>
      </c>
      <c r="B29" t="s">
        <v>2</v>
      </c>
      <c r="C29">
        <v>3.9</v>
      </c>
      <c r="N29" t="s">
        <v>1</v>
      </c>
      <c r="O29" t="s">
        <v>2</v>
      </c>
      <c r="P29">
        <v>7.7</v>
      </c>
    </row>
    <row r="30" spans="1:16" x14ac:dyDescent="0.2">
      <c r="A30">
        <v>0.1</v>
      </c>
      <c r="B30">
        <f>AVERAGE(C28:C30)</f>
        <v>3.8333333333333335</v>
      </c>
      <c r="C30">
        <v>3.7</v>
      </c>
      <c r="N30">
        <v>0.1</v>
      </c>
      <c r="O30">
        <f>AVERAGE(P28:P30)</f>
        <v>7.7333333333333343</v>
      </c>
      <c r="P30">
        <v>7.6</v>
      </c>
    </row>
    <row r="31" spans="1:16" x14ac:dyDescent="0.2">
      <c r="A31">
        <v>1</v>
      </c>
      <c r="B31">
        <v>40.5</v>
      </c>
      <c r="N31">
        <v>1</v>
      </c>
      <c r="O31">
        <v>79</v>
      </c>
    </row>
    <row r="32" spans="1:16" x14ac:dyDescent="0.2">
      <c r="A32">
        <v>10</v>
      </c>
      <c r="B32">
        <v>402.6</v>
      </c>
      <c r="N32">
        <v>10</v>
      </c>
      <c r="O32">
        <v>793.7</v>
      </c>
    </row>
    <row r="33" spans="1:16" x14ac:dyDescent="0.2">
      <c r="A33">
        <v>20</v>
      </c>
      <c r="B33">
        <v>813.1</v>
      </c>
      <c r="N33">
        <v>20</v>
      </c>
      <c r="O33">
        <v>1599.8</v>
      </c>
    </row>
    <row r="34" spans="1:16" x14ac:dyDescent="0.2">
      <c r="A34">
        <v>50</v>
      </c>
      <c r="B34">
        <v>2045.6</v>
      </c>
      <c r="N34">
        <v>50</v>
      </c>
      <c r="O34">
        <v>4058.3</v>
      </c>
    </row>
    <row r="43" spans="1:16" x14ac:dyDescent="0.2">
      <c r="A43" s="1" t="s">
        <v>4</v>
      </c>
      <c r="B43" s="1"/>
      <c r="C43">
        <v>3.7</v>
      </c>
      <c r="D43" t="s">
        <v>73</v>
      </c>
      <c r="E43">
        <f>STDEV(C43:C45)*10/37.549</f>
        <v>1.5375915981507463E-2</v>
      </c>
      <c r="N43" s="1" t="s">
        <v>4</v>
      </c>
      <c r="O43" s="1"/>
      <c r="P43">
        <v>8.5</v>
      </c>
    </row>
    <row r="44" spans="1:16" x14ac:dyDescent="0.2">
      <c r="A44" s="1" t="s">
        <v>1</v>
      </c>
      <c r="B44" s="1" t="s">
        <v>2</v>
      </c>
      <c r="C44">
        <v>3.7</v>
      </c>
      <c r="N44" s="1" t="s">
        <v>1</v>
      </c>
      <c r="O44" s="1" t="s">
        <v>2</v>
      </c>
      <c r="P44">
        <v>8.6999999999999993</v>
      </c>
    </row>
    <row r="45" spans="1:16" x14ac:dyDescent="0.2">
      <c r="A45">
        <v>0.1</v>
      </c>
      <c r="B45" s="1">
        <f>AVERAGE(C43:C45)</f>
        <v>3.7333333333333329</v>
      </c>
      <c r="C45">
        <v>3.8</v>
      </c>
      <c r="N45">
        <v>0.1</v>
      </c>
      <c r="O45" s="1">
        <f>AVERAGE(P43:P45)</f>
        <v>8.5</v>
      </c>
      <c r="P45">
        <v>8.3000000000000007</v>
      </c>
    </row>
    <row r="46" spans="1:16" x14ac:dyDescent="0.2">
      <c r="A46">
        <v>1</v>
      </c>
      <c r="B46" s="1">
        <v>36.5</v>
      </c>
      <c r="N46">
        <v>1</v>
      </c>
      <c r="O46" s="1">
        <v>79.8</v>
      </c>
    </row>
    <row r="47" spans="1:16" x14ac:dyDescent="0.2">
      <c r="A47">
        <v>10</v>
      </c>
      <c r="B47" s="1">
        <v>369</v>
      </c>
      <c r="N47">
        <v>10</v>
      </c>
      <c r="O47" s="1">
        <v>758.5</v>
      </c>
    </row>
    <row r="48" spans="1:16" x14ac:dyDescent="0.2">
      <c r="A48">
        <v>20</v>
      </c>
      <c r="B48" s="1">
        <v>748.1</v>
      </c>
      <c r="N48">
        <v>20</v>
      </c>
      <c r="O48" s="1">
        <v>1561.7</v>
      </c>
    </row>
    <row r="49" spans="1:15" x14ac:dyDescent="0.2">
      <c r="A49">
        <v>50</v>
      </c>
      <c r="B49" s="1">
        <v>1879.9</v>
      </c>
      <c r="N49">
        <v>50</v>
      </c>
      <c r="O49" s="1">
        <v>3853.6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FCF71-A72C-534E-BB80-51D907C38770}">
  <dimension ref="A1:U199"/>
  <sheetViews>
    <sheetView tabSelected="1" topLeftCell="A10" workbookViewId="0">
      <selection activeCell="B31" sqref="B31"/>
    </sheetView>
  </sheetViews>
  <sheetFormatPr baseColWidth="10" defaultRowHeight="16" x14ac:dyDescent="0.2"/>
  <cols>
    <col min="1" max="1" width="14" customWidth="1"/>
    <col min="2" max="2" width="16.33203125" customWidth="1"/>
    <col min="3" max="3" width="18.5" customWidth="1"/>
    <col min="4" max="4" width="18.6640625" customWidth="1"/>
    <col min="5" max="5" width="16.33203125" customWidth="1"/>
    <col min="6" max="6" width="19.6640625" customWidth="1"/>
    <col min="7" max="7" width="20.1640625" customWidth="1"/>
    <col min="8" max="8" width="18.5" customWidth="1"/>
    <col min="9" max="9" width="13.33203125" customWidth="1"/>
    <col min="10" max="10" width="14" customWidth="1"/>
    <col min="11" max="11" width="19.1640625" customWidth="1"/>
    <col min="12" max="12" width="21.1640625" customWidth="1"/>
    <col min="13" max="13" width="14" customWidth="1"/>
    <col min="15" max="15" width="13.5" customWidth="1"/>
    <col min="16" max="16" width="17.5" customWidth="1"/>
    <col min="17" max="17" width="19.83203125" customWidth="1"/>
    <col min="18" max="18" width="15.5" customWidth="1"/>
    <col min="19" max="19" width="21.33203125" customWidth="1"/>
    <col min="20" max="20" width="21.1640625" customWidth="1"/>
    <col min="21" max="21" width="12.33203125" customWidth="1"/>
  </cols>
  <sheetData>
    <row r="1" spans="1:21" s="3" customFormat="1" x14ac:dyDescent="0.2">
      <c r="A1" s="3" t="s">
        <v>20</v>
      </c>
      <c r="B1" s="3" t="s">
        <v>21</v>
      </c>
      <c r="C1" s="3" t="s">
        <v>22</v>
      </c>
      <c r="D1" s="3" t="s">
        <v>23</v>
      </c>
      <c r="E1" s="3" t="s">
        <v>24</v>
      </c>
      <c r="F1" s="3" t="s">
        <v>25</v>
      </c>
      <c r="G1" s="3" t="s">
        <v>26</v>
      </c>
      <c r="H1" s="3" t="s">
        <v>37</v>
      </c>
      <c r="I1" s="3" t="s">
        <v>38</v>
      </c>
      <c r="J1" s="3" t="s">
        <v>39</v>
      </c>
      <c r="K1" s="3" t="s">
        <v>28</v>
      </c>
      <c r="L1" s="3" t="s">
        <v>27</v>
      </c>
      <c r="M1" s="3" t="s">
        <v>29</v>
      </c>
      <c r="P1" s="3" t="s">
        <v>20</v>
      </c>
      <c r="Q1" s="3" t="s">
        <v>26</v>
      </c>
      <c r="R1" s="3" t="s">
        <v>55</v>
      </c>
      <c r="S1" s="3" t="s">
        <v>56</v>
      </c>
      <c r="T1" s="3" t="s">
        <v>57</v>
      </c>
      <c r="U1" s="3" t="s">
        <v>29</v>
      </c>
    </row>
    <row r="2" spans="1:21" x14ac:dyDescent="0.2">
      <c r="A2" t="s">
        <v>75</v>
      </c>
      <c r="B2" t="s">
        <v>31</v>
      </c>
      <c r="C2" t="s">
        <v>31</v>
      </c>
      <c r="D2" t="s">
        <v>31</v>
      </c>
      <c r="E2">
        <v>200</v>
      </c>
      <c r="F2" t="s">
        <v>31</v>
      </c>
      <c r="G2">
        <v>50</v>
      </c>
      <c r="H2">
        <v>1346.3</v>
      </c>
      <c r="I2" t="s">
        <v>31</v>
      </c>
      <c r="J2" t="s">
        <v>31</v>
      </c>
      <c r="K2">
        <f>H2/49.593</f>
        <v>27.146976387796663</v>
      </c>
      <c r="L2">
        <f>K2*0.15</f>
        <v>4.0720464581694991</v>
      </c>
      <c r="M2">
        <f>L2/G2</f>
        <v>8.1440929163389977E-2</v>
      </c>
      <c r="P2" s="3" t="s">
        <v>30</v>
      </c>
      <c r="Q2">
        <v>50</v>
      </c>
      <c r="R2">
        <f>H2/49.593*0.15</f>
        <v>4.0720464581694991</v>
      </c>
      <c r="S2" t="s">
        <v>31</v>
      </c>
      <c r="T2" t="s">
        <v>31</v>
      </c>
      <c r="U2">
        <f>M2*100</f>
        <v>8.1440929163389981</v>
      </c>
    </row>
    <row r="3" spans="1:21" x14ac:dyDescent="0.2">
      <c r="P3" s="3"/>
      <c r="R3">
        <f t="shared" ref="R3:R16" si="0">H3/49.593*0.15</f>
        <v>0</v>
      </c>
      <c r="U3">
        <f t="shared" ref="U3:U16" si="1">M3*100</f>
        <v>0</v>
      </c>
    </row>
    <row r="4" spans="1:21" x14ac:dyDescent="0.2">
      <c r="A4" t="s">
        <v>32</v>
      </c>
      <c r="B4">
        <v>405.07</v>
      </c>
      <c r="C4">
        <v>500</v>
      </c>
      <c r="D4">
        <v>905.07</v>
      </c>
      <c r="E4">
        <v>400</v>
      </c>
      <c r="F4">
        <v>160</v>
      </c>
      <c r="G4">
        <v>50</v>
      </c>
      <c r="H4">
        <v>756.8</v>
      </c>
      <c r="I4" t="s">
        <v>31</v>
      </c>
      <c r="J4" t="s">
        <v>31</v>
      </c>
      <c r="K4">
        <f>H4/49.593</f>
        <v>15.26021817595225</v>
      </c>
      <c r="L4">
        <f>K4*0.15</f>
        <v>2.2890327263928376</v>
      </c>
      <c r="M4">
        <f>L4/G4</f>
        <v>4.5780654527856755E-2</v>
      </c>
      <c r="P4" s="3" t="s">
        <v>32</v>
      </c>
      <c r="Q4">
        <v>50</v>
      </c>
      <c r="R4">
        <f t="shared" si="0"/>
        <v>2.2890327263928376</v>
      </c>
      <c r="S4" t="s">
        <v>31</v>
      </c>
      <c r="T4" t="s">
        <v>31</v>
      </c>
      <c r="U4">
        <f t="shared" si="1"/>
        <v>4.5780654527856752</v>
      </c>
    </row>
    <row r="5" spans="1:21" x14ac:dyDescent="0.2">
      <c r="P5" s="3"/>
      <c r="R5">
        <f t="shared" si="0"/>
        <v>0</v>
      </c>
      <c r="U5">
        <f t="shared" si="1"/>
        <v>0</v>
      </c>
    </row>
    <row r="6" spans="1:21" x14ac:dyDescent="0.2">
      <c r="A6" t="s">
        <v>33</v>
      </c>
      <c r="B6">
        <v>81.98</v>
      </c>
      <c r="C6">
        <v>300</v>
      </c>
      <c r="D6">
        <v>381.98</v>
      </c>
      <c r="E6">
        <v>200</v>
      </c>
      <c r="F6">
        <v>150.4</v>
      </c>
      <c r="G6">
        <v>50</v>
      </c>
      <c r="H6">
        <v>3608.4</v>
      </c>
      <c r="I6" t="s">
        <v>31</v>
      </c>
      <c r="J6" t="s">
        <v>31</v>
      </c>
      <c r="K6">
        <f>H6/49.593</f>
        <v>72.760268586292412</v>
      </c>
      <c r="L6">
        <f>K6*0.15</f>
        <v>10.914040287943861</v>
      </c>
      <c r="M6">
        <f>L6/G6</f>
        <v>0.21828080575887721</v>
      </c>
      <c r="P6" s="3" t="s">
        <v>33</v>
      </c>
      <c r="Q6">
        <v>50</v>
      </c>
      <c r="R6">
        <f t="shared" si="0"/>
        <v>10.914040287943861</v>
      </c>
      <c r="S6" t="s">
        <v>31</v>
      </c>
      <c r="T6" t="s">
        <v>31</v>
      </c>
      <c r="U6">
        <f t="shared" si="1"/>
        <v>21.828080575887721</v>
      </c>
    </row>
    <row r="7" spans="1:21" x14ac:dyDescent="0.2">
      <c r="P7" s="3"/>
      <c r="R7">
        <f t="shared" si="0"/>
        <v>0</v>
      </c>
      <c r="U7">
        <f t="shared" si="1"/>
        <v>0</v>
      </c>
    </row>
    <row r="8" spans="1:21" x14ac:dyDescent="0.2">
      <c r="A8" t="s">
        <v>34</v>
      </c>
      <c r="B8">
        <v>892.8</v>
      </c>
      <c r="C8">
        <v>2000</v>
      </c>
      <c r="D8">
        <v>2892.8</v>
      </c>
      <c r="E8">
        <v>200</v>
      </c>
      <c r="F8">
        <v>202.5</v>
      </c>
      <c r="G8">
        <v>50</v>
      </c>
      <c r="H8">
        <v>332.5</v>
      </c>
      <c r="I8">
        <v>85.8</v>
      </c>
      <c r="J8">
        <v>35.5</v>
      </c>
      <c r="K8">
        <f>H8/49.593+I8/40.856+J8/37.549</f>
        <v>9.7500652884729213</v>
      </c>
      <c r="L8">
        <f>K8*0.15</f>
        <v>1.4625097932709381</v>
      </c>
      <c r="M8">
        <f>L8/G8</f>
        <v>2.9250195865418761E-2</v>
      </c>
      <c r="P8" s="3" t="s">
        <v>34</v>
      </c>
      <c r="Q8">
        <v>50</v>
      </c>
      <c r="R8">
        <f t="shared" si="0"/>
        <v>1.0056862863710603</v>
      </c>
      <c r="S8">
        <f>I8/40.856*0.15</f>
        <v>0.31500881143528486</v>
      </c>
      <c r="T8">
        <f>J8/37.459*0.15</f>
        <v>0.14215542326276728</v>
      </c>
      <c r="U8">
        <f t="shared" si="1"/>
        <v>2.9250195865418762</v>
      </c>
    </row>
    <row r="9" spans="1:21" x14ac:dyDescent="0.2">
      <c r="F9">
        <v>192.5</v>
      </c>
      <c r="G9">
        <v>5</v>
      </c>
      <c r="H9">
        <v>56.4</v>
      </c>
      <c r="I9">
        <v>84.4</v>
      </c>
      <c r="J9">
        <v>40.9</v>
      </c>
      <c r="K9">
        <f>H9/49.593+I9/40.856+J9/37.549</f>
        <v>4.2922927129782078</v>
      </c>
      <c r="L9">
        <f>K9*0.15</f>
        <v>0.6438439069467311</v>
      </c>
      <c r="M9">
        <f t="shared" ref="M9:M16" si="2">L9/G9</f>
        <v>0.12876878138934622</v>
      </c>
      <c r="P9" s="3"/>
      <c r="Q9">
        <v>5</v>
      </c>
      <c r="R9">
        <f t="shared" si="0"/>
        <v>0.17058859113181293</v>
      </c>
      <c r="S9">
        <f t="shared" ref="S9" si="3">I9/40.856*0.15</f>
        <v>0.3098688075190914</v>
      </c>
      <c r="T9">
        <f>J9/37.459*0.15</f>
        <v>0.1637790651111882</v>
      </c>
      <c r="U9">
        <f t="shared" si="1"/>
        <v>12.876878138934622</v>
      </c>
    </row>
    <row r="10" spans="1:21" x14ac:dyDescent="0.2">
      <c r="G10">
        <v>35</v>
      </c>
      <c r="H10">
        <v>148.80000000000001</v>
      </c>
      <c r="K10">
        <f>H10/49.5</f>
        <v>3.0060606060606063</v>
      </c>
      <c r="L10">
        <f>K10*0.15</f>
        <v>0.45090909090909093</v>
      </c>
      <c r="M10">
        <f t="shared" si="2"/>
        <v>1.2883116883116883E-2</v>
      </c>
      <c r="P10" s="3"/>
      <c r="Q10">
        <v>35</v>
      </c>
      <c r="R10">
        <f t="shared" si="0"/>
        <v>0.45006351702861291</v>
      </c>
      <c r="S10" t="s">
        <v>31</v>
      </c>
      <c r="T10" t="s">
        <v>31</v>
      </c>
      <c r="U10">
        <f t="shared" si="1"/>
        <v>1.2883116883116883</v>
      </c>
    </row>
    <row r="11" spans="1:21" x14ac:dyDescent="0.2">
      <c r="P11" s="3"/>
      <c r="R11">
        <f t="shared" si="0"/>
        <v>0</v>
      </c>
      <c r="U11">
        <f t="shared" si="1"/>
        <v>0</v>
      </c>
    </row>
    <row r="12" spans="1:21" x14ac:dyDescent="0.2">
      <c r="A12" t="s">
        <v>36</v>
      </c>
      <c r="B12">
        <v>268.14</v>
      </c>
      <c r="C12">
        <v>500</v>
      </c>
      <c r="D12">
        <v>768.14</v>
      </c>
      <c r="E12">
        <v>200</v>
      </c>
      <c r="F12">
        <v>168.8</v>
      </c>
      <c r="G12">
        <v>50</v>
      </c>
      <c r="H12">
        <v>704.8</v>
      </c>
      <c r="I12" t="s">
        <v>31</v>
      </c>
      <c r="J12" t="s">
        <v>31</v>
      </c>
      <c r="K12">
        <f>H12/49.593</f>
        <v>14.211683100437559</v>
      </c>
      <c r="L12">
        <f>K12*0.15</f>
        <v>2.1317524650656337</v>
      </c>
      <c r="M12">
        <f t="shared" si="2"/>
        <v>4.2635049301312671E-2</v>
      </c>
      <c r="P12" s="3" t="s">
        <v>36</v>
      </c>
      <c r="Q12">
        <v>50</v>
      </c>
      <c r="R12">
        <f t="shared" si="0"/>
        <v>2.1317524650656337</v>
      </c>
      <c r="S12" t="s">
        <v>31</v>
      </c>
      <c r="U12">
        <f t="shared" si="1"/>
        <v>4.2635049301312673</v>
      </c>
    </row>
    <row r="13" spans="1:21" x14ac:dyDescent="0.2">
      <c r="F13">
        <v>160.1</v>
      </c>
      <c r="G13">
        <v>5</v>
      </c>
      <c r="H13">
        <v>77.3</v>
      </c>
      <c r="I13" t="s">
        <v>31</v>
      </c>
      <c r="J13" t="s">
        <v>31</v>
      </c>
      <c r="K13">
        <f>H13/49.593</f>
        <v>1.5586877180247212</v>
      </c>
      <c r="L13">
        <f>K13*0.15</f>
        <v>0.23380315770370816</v>
      </c>
      <c r="M13">
        <f t="shared" si="2"/>
        <v>4.6760631540741629E-2</v>
      </c>
      <c r="P13" s="3"/>
      <c r="Q13">
        <v>5</v>
      </c>
      <c r="R13">
        <f t="shared" si="0"/>
        <v>0.23380315770370816</v>
      </c>
      <c r="S13" t="s">
        <v>31</v>
      </c>
      <c r="U13">
        <f t="shared" si="1"/>
        <v>4.6760631540741633</v>
      </c>
    </row>
    <row r="14" spans="1:21" x14ac:dyDescent="0.2">
      <c r="P14" s="3"/>
      <c r="R14">
        <f t="shared" si="0"/>
        <v>0</v>
      </c>
      <c r="U14">
        <f t="shared" si="1"/>
        <v>0</v>
      </c>
    </row>
    <row r="15" spans="1:21" x14ac:dyDescent="0.2">
      <c r="A15" t="s">
        <v>35</v>
      </c>
      <c r="B15">
        <v>134.01</v>
      </c>
      <c r="C15">
        <v>500</v>
      </c>
      <c r="D15">
        <v>434.01</v>
      </c>
      <c r="E15">
        <v>200</v>
      </c>
      <c r="F15">
        <v>178.6</v>
      </c>
      <c r="G15">
        <v>50</v>
      </c>
      <c r="H15">
        <v>950.2</v>
      </c>
      <c r="I15">
        <v>17.5</v>
      </c>
      <c r="K15">
        <f>H15/49.593+I15/40.856+J15/37.549</f>
        <v>19.58829575110698</v>
      </c>
      <c r="L15">
        <f>K15*0.15</f>
        <v>2.938244362666047</v>
      </c>
      <c r="M15">
        <f t="shared" si="2"/>
        <v>5.8764887253320942E-2</v>
      </c>
      <c r="P15" s="3" t="s">
        <v>35</v>
      </c>
      <c r="Q15">
        <v>50</v>
      </c>
      <c r="R15">
        <f t="shared" si="0"/>
        <v>2.8739943137136286</v>
      </c>
      <c r="S15">
        <f>I15/40.856*0.15</f>
        <v>6.4250048952418246E-2</v>
      </c>
      <c r="T15" t="s">
        <v>31</v>
      </c>
      <c r="U15">
        <f t="shared" si="1"/>
        <v>5.8764887253320941</v>
      </c>
    </row>
    <row r="16" spans="1:21" x14ac:dyDescent="0.2">
      <c r="F16">
        <v>164.6</v>
      </c>
      <c r="G16">
        <v>5</v>
      </c>
      <c r="H16">
        <v>121.8</v>
      </c>
      <c r="I16">
        <v>29.7</v>
      </c>
      <c r="K16">
        <f>H16/49.593+I16/40.856+J16/37.549</f>
        <v>3.1829351840369879</v>
      </c>
      <c r="L16">
        <f>K16*0.15</f>
        <v>0.47744027760554819</v>
      </c>
      <c r="M16">
        <f t="shared" si="2"/>
        <v>9.5488055521109644E-2</v>
      </c>
      <c r="Q16">
        <v>5</v>
      </c>
      <c r="R16">
        <f t="shared" si="0"/>
        <v>0.36839876595487264</v>
      </c>
      <c r="S16">
        <f>I16/40.856*0.15</f>
        <v>0.10904151165067553</v>
      </c>
      <c r="T16" t="s">
        <v>31</v>
      </c>
      <c r="U16">
        <f t="shared" si="1"/>
        <v>9.5488055521109647</v>
      </c>
    </row>
    <row r="19" spans="1:18" s="3" customFormat="1" x14ac:dyDescent="0.2">
      <c r="A19" s="7" t="s">
        <v>20</v>
      </c>
      <c r="B19" s="7" t="s">
        <v>40</v>
      </c>
      <c r="C19" s="7" t="s">
        <v>41</v>
      </c>
      <c r="D19" s="7" t="s">
        <v>42</v>
      </c>
      <c r="E19" s="8" t="s">
        <v>44</v>
      </c>
      <c r="F19" s="8"/>
      <c r="G19" s="8"/>
      <c r="H19" s="8"/>
      <c r="I19" s="8" t="s">
        <v>43</v>
      </c>
      <c r="J19" s="8"/>
      <c r="K19" s="8"/>
      <c r="L19" s="8"/>
      <c r="M19" s="8" t="s">
        <v>45</v>
      </c>
      <c r="N19" s="8"/>
      <c r="O19" s="8"/>
      <c r="P19" s="8"/>
      <c r="Q19" s="7" t="s">
        <v>48</v>
      </c>
    </row>
    <row r="20" spans="1:18" s="3" customFormat="1" x14ac:dyDescent="0.2">
      <c r="A20" s="7"/>
      <c r="B20" s="7"/>
      <c r="C20" s="7"/>
      <c r="D20" s="7"/>
      <c r="E20" s="3" t="s">
        <v>37</v>
      </c>
      <c r="F20" s="3" t="s">
        <v>38</v>
      </c>
      <c r="G20" s="3" t="s">
        <v>39</v>
      </c>
      <c r="H20" s="3" t="s">
        <v>28</v>
      </c>
      <c r="I20" s="3" t="s">
        <v>37</v>
      </c>
      <c r="J20" s="3" t="s">
        <v>38</v>
      </c>
      <c r="K20" s="3" t="s">
        <v>39</v>
      </c>
      <c r="L20" s="3" t="s">
        <v>28</v>
      </c>
      <c r="M20" s="3" t="s">
        <v>37</v>
      </c>
      <c r="N20" s="3" t="s">
        <v>38</v>
      </c>
      <c r="O20" s="3" t="s">
        <v>39</v>
      </c>
      <c r="P20" s="3" t="s">
        <v>28</v>
      </c>
      <c r="Q20" s="7"/>
      <c r="R20" s="3" t="s">
        <v>49</v>
      </c>
    </row>
    <row r="21" spans="1:18" x14ac:dyDescent="0.2">
      <c r="A21" t="s">
        <v>46</v>
      </c>
      <c r="B21">
        <v>200</v>
      </c>
      <c r="C21">
        <v>2182.4</v>
      </c>
      <c r="D21">
        <f>C21/49.593*1</f>
        <v>44.006210553908815</v>
      </c>
      <c r="E21" t="s">
        <v>31</v>
      </c>
      <c r="F21" t="s">
        <v>31</v>
      </c>
      <c r="G21" t="s">
        <v>31</v>
      </c>
      <c r="H21" t="s">
        <v>31</v>
      </c>
      <c r="I21" t="s">
        <v>31</v>
      </c>
      <c r="J21" t="s">
        <v>31</v>
      </c>
      <c r="K21" t="s">
        <v>31</v>
      </c>
      <c r="L21" t="s">
        <v>31</v>
      </c>
      <c r="M21">
        <v>115.9</v>
      </c>
      <c r="N21">
        <v>66.599999999999994</v>
      </c>
      <c r="O21">
        <v>80.900000000000006</v>
      </c>
      <c r="P21">
        <f>M21/49.593+N21/40.586+O21/37.549</f>
        <v>6.1325014035118617</v>
      </c>
      <c r="Q21">
        <f>P21*0.15</f>
        <v>0.91987521052677923</v>
      </c>
      <c r="R21">
        <f>Q21/D21</f>
        <v>2.0903304305193625E-2</v>
      </c>
    </row>
    <row r="23" spans="1:18" x14ac:dyDescent="0.2">
      <c r="A23" t="s">
        <v>91</v>
      </c>
      <c r="B23">
        <v>200</v>
      </c>
      <c r="C23">
        <v>2182.4</v>
      </c>
      <c r="D23">
        <f>C23/49.593*1</f>
        <v>44.006210553908815</v>
      </c>
      <c r="E23" t="s">
        <v>31</v>
      </c>
      <c r="F23" t="s">
        <v>31</v>
      </c>
      <c r="G23" t="s">
        <v>31</v>
      </c>
      <c r="H23" t="s">
        <v>31</v>
      </c>
      <c r="I23" t="s">
        <v>31</v>
      </c>
      <c r="J23" t="s">
        <v>31</v>
      </c>
      <c r="K23" t="s">
        <v>31</v>
      </c>
      <c r="L23" t="s">
        <v>31</v>
      </c>
      <c r="M23">
        <v>9191.5</v>
      </c>
      <c r="N23" t="s">
        <v>31</v>
      </c>
      <c r="O23" t="s">
        <v>31</v>
      </c>
      <c r="P23">
        <f>M23/49.593</f>
        <v>185.33865666525517</v>
      </c>
      <c r="Q23">
        <f>P23*0.15</f>
        <v>27.800798499788275</v>
      </c>
      <c r="R23">
        <f>Q23/D23</f>
        <v>0.63174715909090906</v>
      </c>
    </row>
    <row r="26" spans="1:18" x14ac:dyDescent="0.2">
      <c r="A26" t="s">
        <v>51</v>
      </c>
    </row>
    <row r="27" spans="1:18" x14ac:dyDescent="0.2">
      <c r="A27" s="7" t="s">
        <v>20</v>
      </c>
      <c r="B27" s="7" t="s">
        <v>40</v>
      </c>
      <c r="C27" s="7" t="s">
        <v>41</v>
      </c>
      <c r="D27" s="7" t="s">
        <v>42</v>
      </c>
      <c r="E27" s="8" t="s">
        <v>44</v>
      </c>
      <c r="F27" s="8"/>
      <c r="G27" s="8"/>
      <c r="H27" s="8"/>
      <c r="I27" s="8" t="s">
        <v>43</v>
      </c>
      <c r="J27" s="8"/>
      <c r="K27" s="8"/>
      <c r="L27" s="8"/>
      <c r="M27" s="8" t="s">
        <v>45</v>
      </c>
      <c r="N27" s="8"/>
      <c r="O27" s="8"/>
      <c r="P27" s="8"/>
      <c r="Q27" s="7" t="s">
        <v>48</v>
      </c>
      <c r="R27" s="3"/>
    </row>
    <row r="28" spans="1:18" x14ac:dyDescent="0.2">
      <c r="A28" s="7"/>
      <c r="B28" s="7"/>
      <c r="C28" s="7"/>
      <c r="D28" s="7"/>
      <c r="E28" s="3" t="s">
        <v>37</v>
      </c>
      <c r="F28" s="3" t="s">
        <v>38</v>
      </c>
      <c r="G28" s="3" t="s">
        <v>39</v>
      </c>
      <c r="H28" s="3" t="s">
        <v>28</v>
      </c>
      <c r="I28" s="3" t="s">
        <v>37</v>
      </c>
      <c r="J28" s="3" t="s">
        <v>38</v>
      </c>
      <c r="K28" s="3" t="s">
        <v>39</v>
      </c>
      <c r="L28" s="3" t="s">
        <v>28</v>
      </c>
      <c r="M28" s="3" t="s">
        <v>37</v>
      </c>
      <c r="N28" s="3" t="s">
        <v>38</v>
      </c>
      <c r="O28" s="3" t="s">
        <v>39</v>
      </c>
      <c r="P28" s="3" t="s">
        <v>28</v>
      </c>
      <c r="Q28" s="7"/>
      <c r="R28" s="3" t="s">
        <v>49</v>
      </c>
    </row>
    <row r="29" spans="1:18" x14ac:dyDescent="0.2">
      <c r="A29" t="s">
        <v>46</v>
      </c>
      <c r="B29">
        <v>200</v>
      </c>
      <c r="C29">
        <v>1758.1</v>
      </c>
      <c r="D29">
        <f>C29/49.593*1</f>
        <v>35.450567620430299</v>
      </c>
      <c r="E29" t="s">
        <v>31</v>
      </c>
      <c r="F29" t="s">
        <v>31</v>
      </c>
      <c r="G29">
        <v>25.4</v>
      </c>
      <c r="H29">
        <f>G29/37.549</f>
        <v>0.676449439399185</v>
      </c>
      <c r="I29" t="s">
        <v>31</v>
      </c>
      <c r="J29" t="s">
        <v>31</v>
      </c>
      <c r="K29" t="s">
        <v>31</v>
      </c>
      <c r="L29" t="s">
        <v>31</v>
      </c>
      <c r="M29">
        <v>92.1</v>
      </c>
      <c r="N29">
        <v>50.8</v>
      </c>
      <c r="O29">
        <v>36.9</v>
      </c>
      <c r="P29">
        <f>M29/49.593+N29/40.586+O29/37.549</f>
        <v>4.0914959847635828</v>
      </c>
      <c r="Q29">
        <f>P29*0.15</f>
        <v>0.61372439771453735</v>
      </c>
      <c r="R29">
        <f>Q29/D29</f>
        <v>1.7312117658754938E-2</v>
      </c>
    </row>
    <row r="31" spans="1:18" x14ac:dyDescent="0.2">
      <c r="A31" t="s">
        <v>30</v>
      </c>
      <c r="B31">
        <v>200</v>
      </c>
      <c r="C31">
        <v>1758.1</v>
      </c>
      <c r="D31">
        <f>C31/49.593*1</f>
        <v>35.450567620430299</v>
      </c>
      <c r="E31" t="s">
        <v>31</v>
      </c>
      <c r="F31" t="s">
        <v>31</v>
      </c>
      <c r="G31" t="s">
        <v>31</v>
      </c>
      <c r="H31" t="s">
        <v>31</v>
      </c>
      <c r="I31" t="s">
        <v>31</v>
      </c>
      <c r="J31" t="s">
        <v>31</v>
      </c>
      <c r="K31" t="s">
        <v>31</v>
      </c>
      <c r="L31" t="s">
        <v>31</v>
      </c>
      <c r="M31">
        <v>2114.4</v>
      </c>
      <c r="N31" t="s">
        <v>31</v>
      </c>
      <c r="O31" t="s">
        <v>31</v>
      </c>
      <c r="P31">
        <f>M31/49.593</f>
        <v>42.635049301312684</v>
      </c>
      <c r="Q31">
        <f>P31*0.15</f>
        <v>6.3952573951969027</v>
      </c>
      <c r="R31">
        <f>Q31/D31</f>
        <v>0.18039929469313465</v>
      </c>
    </row>
    <row r="35" spans="1:18" x14ac:dyDescent="0.2">
      <c r="A35" t="s">
        <v>50</v>
      </c>
    </row>
    <row r="36" spans="1:18" x14ac:dyDescent="0.2">
      <c r="A36" s="7" t="s">
        <v>20</v>
      </c>
      <c r="B36" s="7" t="s">
        <v>40</v>
      </c>
      <c r="C36" s="7" t="s">
        <v>41</v>
      </c>
      <c r="D36" s="7" t="s">
        <v>42</v>
      </c>
      <c r="E36" s="8" t="s">
        <v>44</v>
      </c>
      <c r="F36" s="8"/>
      <c r="G36" s="8"/>
      <c r="H36" s="8"/>
      <c r="I36" s="8" t="s">
        <v>43</v>
      </c>
      <c r="J36" s="8"/>
      <c r="K36" s="8"/>
      <c r="L36" s="8"/>
      <c r="M36" s="8" t="s">
        <v>45</v>
      </c>
      <c r="N36" s="8"/>
      <c r="O36" s="8"/>
      <c r="P36" s="8"/>
      <c r="Q36" s="7" t="s">
        <v>48</v>
      </c>
      <c r="R36" s="3"/>
    </row>
    <row r="37" spans="1:18" x14ac:dyDescent="0.2">
      <c r="A37" s="7"/>
      <c r="B37" s="7"/>
      <c r="C37" s="7"/>
      <c r="D37" s="7"/>
      <c r="E37" s="3" t="s">
        <v>37</v>
      </c>
      <c r="F37" s="3" t="s">
        <v>38</v>
      </c>
      <c r="G37" s="3" t="s">
        <v>39</v>
      </c>
      <c r="H37" s="3" t="s">
        <v>28</v>
      </c>
      <c r="I37" s="3" t="s">
        <v>37</v>
      </c>
      <c r="J37" s="3" t="s">
        <v>38</v>
      </c>
      <c r="K37" s="3" t="s">
        <v>39</v>
      </c>
      <c r="L37" s="3" t="s">
        <v>28</v>
      </c>
      <c r="M37" s="3" t="s">
        <v>37</v>
      </c>
      <c r="N37" s="3" t="s">
        <v>38</v>
      </c>
      <c r="O37" s="3" t="s">
        <v>39</v>
      </c>
      <c r="P37" s="3" t="s">
        <v>28</v>
      </c>
      <c r="Q37" s="7"/>
      <c r="R37" s="3" t="s">
        <v>49</v>
      </c>
    </row>
    <row r="38" spans="1:18" x14ac:dyDescent="0.2">
      <c r="A38" t="s">
        <v>46</v>
      </c>
      <c r="B38">
        <v>200</v>
      </c>
      <c r="C38">
        <v>3678.1</v>
      </c>
      <c r="D38">
        <f>C38/49.593*1</f>
        <v>74.165708870203446</v>
      </c>
      <c r="E38" t="s">
        <v>31</v>
      </c>
      <c r="F38">
        <v>1380.4</v>
      </c>
      <c r="G38" t="s">
        <v>31</v>
      </c>
      <c r="H38">
        <f>F38/40.856</f>
        <v>33.786959075778341</v>
      </c>
      <c r="I38" t="s">
        <v>31</v>
      </c>
      <c r="J38" t="s">
        <v>31</v>
      </c>
      <c r="K38" t="s">
        <v>31</v>
      </c>
      <c r="L38" t="s">
        <v>31</v>
      </c>
      <c r="M38">
        <v>124.8</v>
      </c>
      <c r="N38">
        <v>374.5</v>
      </c>
      <c r="O38" t="s">
        <v>31</v>
      </c>
      <c r="P38">
        <f>M38/49.593+N38/40.586</f>
        <v>11.743803946671612</v>
      </c>
      <c r="Q38">
        <f>P38*0.2/2*3</f>
        <v>3.5231411840014832</v>
      </c>
      <c r="R38">
        <f>Q38/D38</f>
        <v>4.7503640667242754E-2</v>
      </c>
    </row>
    <row r="40" spans="1:18" x14ac:dyDescent="0.2">
      <c r="A40" t="s">
        <v>30</v>
      </c>
      <c r="B40">
        <v>200</v>
      </c>
      <c r="C40">
        <v>3678.1</v>
      </c>
      <c r="D40">
        <f>C40/49.593*1</f>
        <v>74.165708870203446</v>
      </c>
      <c r="E40">
        <v>1387.9</v>
      </c>
      <c r="F40" t="s">
        <v>31</v>
      </c>
      <c r="G40" t="s">
        <v>31</v>
      </c>
      <c r="H40">
        <f>E40/49.593</f>
        <v>27.985804448208416</v>
      </c>
      <c r="I40" t="s">
        <v>31</v>
      </c>
      <c r="J40" t="s">
        <v>31</v>
      </c>
      <c r="K40" t="s">
        <v>31</v>
      </c>
      <c r="L40" t="s">
        <v>31</v>
      </c>
      <c r="M40">
        <v>2847.3</v>
      </c>
      <c r="N40" t="s">
        <v>31</v>
      </c>
      <c r="O40" t="s">
        <v>31</v>
      </c>
      <c r="P40">
        <f>M40/49.593</f>
        <v>57.413344625249529</v>
      </c>
      <c r="Q40">
        <f>P40*0.2*2</f>
        <v>22.965337850099814</v>
      </c>
      <c r="R40">
        <f>Q40/D40</f>
        <v>0.30964900356162156</v>
      </c>
    </row>
    <row r="42" spans="1:18" x14ac:dyDescent="0.2">
      <c r="A42" t="s">
        <v>52</v>
      </c>
    </row>
    <row r="43" spans="1:18" x14ac:dyDescent="0.2">
      <c r="A43" s="7" t="s">
        <v>20</v>
      </c>
      <c r="B43" s="7" t="s">
        <v>40</v>
      </c>
      <c r="C43" s="7" t="s">
        <v>41</v>
      </c>
      <c r="D43" s="7" t="s">
        <v>42</v>
      </c>
      <c r="E43" s="8" t="s">
        <v>44</v>
      </c>
      <c r="F43" s="8"/>
      <c r="G43" s="8"/>
      <c r="H43" s="8"/>
      <c r="I43" s="8" t="s">
        <v>43</v>
      </c>
      <c r="J43" s="8"/>
      <c r="K43" s="8"/>
      <c r="L43" s="8"/>
      <c r="M43" s="8" t="s">
        <v>45</v>
      </c>
      <c r="N43" s="8"/>
      <c r="O43" s="8"/>
      <c r="P43" s="8"/>
      <c r="Q43" s="7" t="s">
        <v>48</v>
      </c>
      <c r="R43" s="3"/>
    </row>
    <row r="44" spans="1:18" x14ac:dyDescent="0.2">
      <c r="A44" s="7"/>
      <c r="B44" s="7"/>
      <c r="C44" s="7"/>
      <c r="D44" s="7"/>
      <c r="E44" s="3" t="s">
        <v>37</v>
      </c>
      <c r="F44" s="3" t="s">
        <v>38</v>
      </c>
      <c r="G44" s="3" t="s">
        <v>39</v>
      </c>
      <c r="H44" s="3" t="s">
        <v>28</v>
      </c>
      <c r="I44" s="3" t="s">
        <v>37</v>
      </c>
      <c r="J44" s="3" t="s">
        <v>38</v>
      </c>
      <c r="K44" s="3" t="s">
        <v>39</v>
      </c>
      <c r="L44" s="3" t="s">
        <v>28</v>
      </c>
      <c r="M44" s="3" t="s">
        <v>37</v>
      </c>
      <c r="N44" s="3" t="s">
        <v>38</v>
      </c>
      <c r="O44" s="3" t="s">
        <v>39</v>
      </c>
      <c r="P44" s="3" t="s">
        <v>28</v>
      </c>
      <c r="Q44" s="7"/>
      <c r="R44" s="3" t="s">
        <v>49</v>
      </c>
    </row>
    <row r="45" spans="1:18" x14ac:dyDescent="0.2">
      <c r="A45" t="s">
        <v>46</v>
      </c>
      <c r="B45">
        <v>200</v>
      </c>
      <c r="C45">
        <v>8008</v>
      </c>
      <c r="D45">
        <f>C45/49.593*1</f>
        <v>161.47440162926219</v>
      </c>
      <c r="E45">
        <v>76.7</v>
      </c>
      <c r="F45" t="s">
        <v>31</v>
      </c>
      <c r="G45" t="s">
        <v>31</v>
      </c>
      <c r="H45">
        <f>E45/49.593</f>
        <v>1.5465892363841671</v>
      </c>
      <c r="I45">
        <v>5.7</v>
      </c>
      <c r="J45" t="s">
        <v>31</v>
      </c>
      <c r="K45" t="s">
        <v>31</v>
      </c>
      <c r="L45">
        <f>I45/49.593</f>
        <v>0.11493557558526404</v>
      </c>
      <c r="M45">
        <v>156.19999999999999</v>
      </c>
      <c r="N45" t="s">
        <v>31</v>
      </c>
      <c r="O45" t="s">
        <v>31</v>
      </c>
      <c r="P45">
        <f>M45/49.593</f>
        <v>3.1496380537575863</v>
      </c>
      <c r="Q45">
        <f>P45*0.2*3</f>
        <v>1.8897828322545518</v>
      </c>
      <c r="R45">
        <f>Q45/D45</f>
        <v>1.1703296703296702E-2</v>
      </c>
    </row>
    <row r="47" spans="1:18" x14ac:dyDescent="0.2">
      <c r="A47" t="s">
        <v>30</v>
      </c>
      <c r="B47">
        <v>200</v>
      </c>
      <c r="C47">
        <v>8008</v>
      </c>
      <c r="D47">
        <f>C47/49.593*1</f>
        <v>161.47440162926219</v>
      </c>
      <c r="E47" t="s">
        <v>31</v>
      </c>
      <c r="F47" t="s">
        <v>31</v>
      </c>
      <c r="G47" t="s">
        <v>31</v>
      </c>
      <c r="H47" t="s">
        <v>31</v>
      </c>
      <c r="I47">
        <v>15.8</v>
      </c>
      <c r="J47" t="s">
        <v>31</v>
      </c>
      <c r="K47" t="s">
        <v>31</v>
      </c>
      <c r="L47">
        <f>I47/49.593</f>
        <v>0.31859334986792492</v>
      </c>
      <c r="M47">
        <v>1566.1</v>
      </c>
      <c r="N47" t="s">
        <v>31</v>
      </c>
      <c r="O47" t="s">
        <v>31</v>
      </c>
      <c r="P47">
        <f>M47/49.593</f>
        <v>31.579053495452982</v>
      </c>
      <c r="Q47">
        <f>P47*0.2*4</f>
        <v>25.263242796362388</v>
      </c>
      <c r="R47">
        <f>Q47/D47</f>
        <v>0.15645354645354645</v>
      </c>
    </row>
    <row r="49" spans="1:18" x14ac:dyDescent="0.2">
      <c r="A49" t="s">
        <v>53</v>
      </c>
    </row>
    <row r="50" spans="1:18" x14ac:dyDescent="0.2">
      <c r="A50" s="7" t="s">
        <v>20</v>
      </c>
      <c r="B50" s="7" t="s">
        <v>40</v>
      </c>
      <c r="C50" s="7" t="s">
        <v>41</v>
      </c>
      <c r="D50" s="7" t="s">
        <v>42</v>
      </c>
      <c r="E50" s="8" t="s">
        <v>44</v>
      </c>
      <c r="F50" s="8"/>
      <c r="G50" s="8"/>
      <c r="H50" s="8"/>
      <c r="I50" s="8" t="s">
        <v>43</v>
      </c>
      <c r="J50" s="8"/>
      <c r="K50" s="8"/>
      <c r="L50" s="8"/>
      <c r="M50" s="8" t="s">
        <v>45</v>
      </c>
      <c r="N50" s="8"/>
      <c r="O50" s="8"/>
      <c r="P50" s="8"/>
      <c r="Q50" s="7" t="s">
        <v>48</v>
      </c>
      <c r="R50" s="3"/>
    </row>
    <row r="51" spans="1:18" x14ac:dyDescent="0.2">
      <c r="A51" s="7"/>
      <c r="B51" s="7"/>
      <c r="C51" s="7"/>
      <c r="D51" s="7"/>
      <c r="E51" s="3" t="s">
        <v>37</v>
      </c>
      <c r="F51" s="3" t="s">
        <v>38</v>
      </c>
      <c r="G51" s="3" t="s">
        <v>39</v>
      </c>
      <c r="H51" s="3" t="s">
        <v>28</v>
      </c>
      <c r="I51" s="3" t="s">
        <v>37</v>
      </c>
      <c r="J51" s="3" t="s">
        <v>38</v>
      </c>
      <c r="K51" s="3" t="s">
        <v>39</v>
      </c>
      <c r="L51" s="3" t="s">
        <v>28</v>
      </c>
      <c r="M51" s="3" t="s">
        <v>37</v>
      </c>
      <c r="N51" s="3" t="s">
        <v>38</v>
      </c>
      <c r="O51" s="3" t="s">
        <v>39</v>
      </c>
      <c r="P51" s="3" t="s">
        <v>28</v>
      </c>
      <c r="Q51" s="7"/>
      <c r="R51" s="3" t="s">
        <v>49</v>
      </c>
    </row>
    <row r="52" spans="1:18" x14ac:dyDescent="0.2">
      <c r="A52" t="s">
        <v>46</v>
      </c>
      <c r="B52">
        <v>200</v>
      </c>
      <c r="C52">
        <v>8012</v>
      </c>
      <c r="D52">
        <f>C52/49.593*1</f>
        <v>161.55505817353253</v>
      </c>
      <c r="E52" t="s">
        <v>31</v>
      </c>
      <c r="F52" t="s">
        <v>31</v>
      </c>
      <c r="G52" t="s">
        <v>31</v>
      </c>
      <c r="H52" t="s">
        <v>31</v>
      </c>
      <c r="I52" t="s">
        <v>31</v>
      </c>
      <c r="J52" t="s">
        <v>31</v>
      </c>
      <c r="K52" t="s">
        <v>31</v>
      </c>
      <c r="L52" t="s">
        <v>31</v>
      </c>
      <c r="M52">
        <v>120.3</v>
      </c>
      <c r="N52" t="s">
        <v>31</v>
      </c>
      <c r="O52" t="s">
        <v>31</v>
      </c>
      <c r="P52">
        <f>M52/49.593</f>
        <v>2.4257455689310987</v>
      </c>
      <c r="Q52">
        <f>P52*0.2*3</f>
        <v>1.4554473413586593</v>
      </c>
      <c r="R52">
        <f>Q52/D52</f>
        <v>9.0089865202196712E-3</v>
      </c>
    </row>
    <row r="54" spans="1:18" x14ac:dyDescent="0.2">
      <c r="A54" t="s">
        <v>30</v>
      </c>
      <c r="B54">
        <v>200</v>
      </c>
      <c r="C54">
        <v>8012</v>
      </c>
      <c r="D54">
        <f>C54/49.593*1</f>
        <v>161.55505817353253</v>
      </c>
      <c r="E54" t="s">
        <v>31</v>
      </c>
      <c r="F54" t="s">
        <v>31</v>
      </c>
      <c r="G54" t="s">
        <v>31</v>
      </c>
      <c r="H54" t="s">
        <v>31</v>
      </c>
      <c r="I54" t="s">
        <v>31</v>
      </c>
      <c r="J54" t="s">
        <v>31</v>
      </c>
      <c r="K54" t="s">
        <v>31</v>
      </c>
      <c r="L54" t="s">
        <v>31</v>
      </c>
      <c r="M54">
        <v>1117.8</v>
      </c>
      <c r="N54" t="s">
        <v>31</v>
      </c>
      <c r="O54" t="s">
        <v>31</v>
      </c>
      <c r="P54">
        <f>M54/49.593</f>
        <v>22.539471296352307</v>
      </c>
      <c r="Q54">
        <f>P54*0.2*4</f>
        <v>18.031577037081846</v>
      </c>
      <c r="R54">
        <f>Q54/D54</f>
        <v>0.11161258112830755</v>
      </c>
    </row>
    <row r="56" spans="1:18" x14ac:dyDescent="0.2">
      <c r="M56" s="8" t="s">
        <v>54</v>
      </c>
      <c r="N56" s="8"/>
      <c r="O56" s="8"/>
      <c r="P56" s="8"/>
      <c r="Q56" s="7" t="s">
        <v>48</v>
      </c>
      <c r="R56" s="3"/>
    </row>
    <row r="57" spans="1:18" x14ac:dyDescent="0.2">
      <c r="M57" s="3" t="s">
        <v>37</v>
      </c>
      <c r="N57" s="3" t="s">
        <v>38</v>
      </c>
      <c r="O57" s="3" t="s">
        <v>39</v>
      </c>
      <c r="P57" s="3" t="s">
        <v>28</v>
      </c>
      <c r="Q57" s="7"/>
      <c r="R57" s="3" t="s">
        <v>49</v>
      </c>
    </row>
    <row r="58" spans="1:18" x14ac:dyDescent="0.2">
      <c r="M58">
        <v>40.4</v>
      </c>
      <c r="N58" t="s">
        <v>31</v>
      </c>
      <c r="O58" t="s">
        <v>31</v>
      </c>
      <c r="P58">
        <f>M58/49.593</f>
        <v>0.8146310971306433</v>
      </c>
      <c r="Q58">
        <f>P58*0.2*3</f>
        <v>0.48877865827838601</v>
      </c>
      <c r="R58">
        <f>Q58/D52</f>
        <v>3.0254618072890664E-3</v>
      </c>
    </row>
    <row r="60" spans="1:18" x14ac:dyDescent="0.2">
      <c r="M60">
        <v>533.29999999999995</v>
      </c>
      <c r="N60" t="s">
        <v>31</v>
      </c>
      <c r="O60" t="s">
        <v>31</v>
      </c>
      <c r="P60">
        <f>M60/49.593</f>
        <v>10.753533764845843</v>
      </c>
      <c r="Q60">
        <f>P60*0.2*4</f>
        <v>8.6028270118766752</v>
      </c>
      <c r="R60">
        <f>Q60/D54</f>
        <v>5.3250124812780832E-2</v>
      </c>
    </row>
    <row r="62" spans="1:18" x14ac:dyDescent="0.2">
      <c r="A62" t="s">
        <v>61</v>
      </c>
    </row>
    <row r="63" spans="1:18" x14ac:dyDescent="0.2">
      <c r="A63" s="7" t="s">
        <v>20</v>
      </c>
      <c r="B63" s="7" t="s">
        <v>40</v>
      </c>
      <c r="C63" s="7" t="s">
        <v>62</v>
      </c>
      <c r="D63" s="7" t="s">
        <v>42</v>
      </c>
      <c r="E63" s="7"/>
      <c r="F63" s="7" t="s">
        <v>64</v>
      </c>
      <c r="G63" s="7"/>
      <c r="H63" s="7" t="s">
        <v>65</v>
      </c>
      <c r="I63" s="7"/>
    </row>
    <row r="64" spans="1:18" x14ac:dyDescent="0.2">
      <c r="A64" s="7"/>
      <c r="B64" s="7"/>
      <c r="C64" s="7"/>
      <c r="D64" s="3" t="s">
        <v>6</v>
      </c>
      <c r="E64" s="3" t="s">
        <v>63</v>
      </c>
      <c r="F64" s="3" t="s">
        <v>6</v>
      </c>
      <c r="G64" s="3" t="s">
        <v>63</v>
      </c>
      <c r="H64" s="3" t="s">
        <v>6</v>
      </c>
      <c r="I64" s="3" t="s">
        <v>63</v>
      </c>
    </row>
    <row r="65" spans="1:18" x14ac:dyDescent="0.2">
      <c r="A65" t="s">
        <v>46</v>
      </c>
      <c r="B65">
        <v>200</v>
      </c>
      <c r="C65">
        <v>2393.1</v>
      </c>
      <c r="D65">
        <f>C65/101.04*1/3</f>
        <v>7.8948931116389538</v>
      </c>
      <c r="E65">
        <f>12.5/3</f>
        <v>4.166666666666667</v>
      </c>
      <c r="F65">
        <v>154.80000000000001</v>
      </c>
      <c r="G65">
        <v>90.4</v>
      </c>
      <c r="H65">
        <f>F65/101.4*0.15</f>
        <v>0.22899408284023667</v>
      </c>
      <c r="I65">
        <f>G65/80.94*0.15</f>
        <v>0.167531504818384</v>
      </c>
    </row>
    <row r="67" spans="1:18" x14ac:dyDescent="0.2">
      <c r="A67" t="s">
        <v>75</v>
      </c>
      <c r="B67">
        <v>200</v>
      </c>
      <c r="C67">
        <v>2393.1</v>
      </c>
      <c r="D67">
        <f>C67/101.04*1/3</f>
        <v>7.8948931116389538</v>
      </c>
      <c r="E67">
        <f>12.5/3</f>
        <v>4.166666666666667</v>
      </c>
      <c r="F67">
        <v>89.5</v>
      </c>
      <c r="G67">
        <v>318.89999999999998</v>
      </c>
      <c r="H67">
        <f>F67/101.4*0.15</f>
        <v>0.13239644970414199</v>
      </c>
      <c r="I67">
        <f>G67/80.94*0.15</f>
        <v>0.59099332839140095</v>
      </c>
    </row>
    <row r="69" spans="1:18" x14ac:dyDescent="0.2">
      <c r="A69" t="s">
        <v>66</v>
      </c>
    </row>
    <row r="70" spans="1:18" x14ac:dyDescent="0.2">
      <c r="A70" t="s">
        <v>67</v>
      </c>
    </row>
    <row r="71" spans="1:18" x14ac:dyDescent="0.2">
      <c r="A71" s="7" t="s">
        <v>20</v>
      </c>
      <c r="B71" s="7" t="s">
        <v>40</v>
      </c>
      <c r="C71" s="7" t="s">
        <v>62</v>
      </c>
      <c r="D71" s="7" t="s">
        <v>42</v>
      </c>
      <c r="E71" s="7"/>
      <c r="F71" s="7" t="s">
        <v>64</v>
      </c>
      <c r="G71" s="7"/>
      <c r="H71" s="7" t="s">
        <v>65</v>
      </c>
      <c r="I71" s="7"/>
    </row>
    <row r="72" spans="1:18" x14ac:dyDescent="0.2">
      <c r="A72" s="7"/>
      <c r="B72" s="7"/>
      <c r="C72" s="7"/>
      <c r="D72" s="3" t="s">
        <v>6</v>
      </c>
      <c r="E72" s="3" t="s">
        <v>63</v>
      </c>
      <c r="F72" s="3" t="s">
        <v>6</v>
      </c>
      <c r="G72" s="3" t="s">
        <v>63</v>
      </c>
      <c r="H72" s="3" t="s">
        <v>6</v>
      </c>
      <c r="I72" s="3" t="s">
        <v>63</v>
      </c>
    </row>
    <row r="73" spans="1:18" x14ac:dyDescent="0.2">
      <c r="A73" t="s">
        <v>75</v>
      </c>
      <c r="B73">
        <v>200</v>
      </c>
      <c r="C73">
        <v>5147.3</v>
      </c>
      <c r="D73">
        <f>C73/101.4</f>
        <v>50.762327416173569</v>
      </c>
      <c r="E73" t="s">
        <v>31</v>
      </c>
      <c r="F73">
        <v>1212.8</v>
      </c>
      <c r="G73" t="s">
        <v>31</v>
      </c>
      <c r="H73">
        <f>F73/101.4*0.5*3.5</f>
        <v>20.930966469428007</v>
      </c>
      <c r="I73" t="s">
        <v>31</v>
      </c>
      <c r="J73">
        <f>H73/D73</f>
        <v>0.41233267926874284</v>
      </c>
    </row>
    <row r="74" spans="1:18" x14ac:dyDescent="0.2">
      <c r="A74" t="s">
        <v>68</v>
      </c>
      <c r="F74">
        <v>1517.4</v>
      </c>
      <c r="H74">
        <f>F74/101.4*0.5*3.5</f>
        <v>26.187869822485208</v>
      </c>
      <c r="J74">
        <f>H74/D73</f>
        <v>0.51589182678297363</v>
      </c>
    </row>
    <row r="76" spans="1:18" x14ac:dyDescent="0.2">
      <c r="A76" s="7" t="s">
        <v>20</v>
      </c>
      <c r="B76" s="7" t="s">
        <v>40</v>
      </c>
      <c r="C76" s="7" t="s">
        <v>41</v>
      </c>
      <c r="D76" s="7" t="s">
        <v>42</v>
      </c>
      <c r="E76" s="8" t="s">
        <v>44</v>
      </c>
      <c r="F76" s="8"/>
      <c r="G76" s="8"/>
      <c r="H76" s="8"/>
      <c r="I76" s="8" t="s">
        <v>43</v>
      </c>
      <c r="J76" s="8"/>
      <c r="K76" s="8"/>
      <c r="L76" s="8"/>
      <c r="M76" s="8" t="s">
        <v>45</v>
      </c>
      <c r="N76" s="8"/>
      <c r="O76" s="8"/>
      <c r="P76" s="8"/>
      <c r="Q76" s="7" t="s">
        <v>48</v>
      </c>
      <c r="R76" s="3"/>
    </row>
    <row r="77" spans="1:18" x14ac:dyDescent="0.2">
      <c r="A77" s="7"/>
      <c r="B77" s="7"/>
      <c r="C77" s="7"/>
      <c r="D77" s="7"/>
      <c r="E77" s="3" t="s">
        <v>37</v>
      </c>
      <c r="F77" s="3" t="s">
        <v>38</v>
      </c>
      <c r="G77" s="3" t="s">
        <v>39</v>
      </c>
      <c r="H77" s="3" t="s">
        <v>28</v>
      </c>
      <c r="I77" s="3" t="s">
        <v>37</v>
      </c>
      <c r="J77" s="3" t="s">
        <v>38</v>
      </c>
      <c r="K77" s="3" t="s">
        <v>39</v>
      </c>
      <c r="L77" s="3" t="s">
        <v>28</v>
      </c>
      <c r="M77" s="3" t="s">
        <v>37</v>
      </c>
      <c r="N77" s="3" t="s">
        <v>38</v>
      </c>
      <c r="O77" s="3" t="s">
        <v>39</v>
      </c>
      <c r="P77" s="3" t="s">
        <v>28</v>
      </c>
      <c r="Q77" s="7"/>
      <c r="R77" s="3" t="s">
        <v>49</v>
      </c>
    </row>
    <row r="78" spans="1:18" x14ac:dyDescent="0.2">
      <c r="A78" t="s">
        <v>75</v>
      </c>
      <c r="B78">
        <v>200</v>
      </c>
      <c r="D78">
        <f>H74/3.5</f>
        <v>7.4822485207100593</v>
      </c>
      <c r="E78" t="s">
        <v>31</v>
      </c>
      <c r="F78" t="s">
        <v>31</v>
      </c>
      <c r="G78" t="s">
        <v>31</v>
      </c>
      <c r="H78" t="s">
        <v>31</v>
      </c>
      <c r="I78">
        <v>87.4</v>
      </c>
      <c r="J78" t="s">
        <v>31</v>
      </c>
      <c r="K78" t="s">
        <v>31</v>
      </c>
      <c r="L78">
        <f>I78*2/101.4</f>
        <v>1.7238658777120315</v>
      </c>
      <c r="M78">
        <v>411.7</v>
      </c>
      <c r="N78" t="s">
        <v>31</v>
      </c>
      <c r="O78" t="s">
        <v>31</v>
      </c>
      <c r="P78">
        <f>M78*2/101.4</f>
        <v>8.120315581854042</v>
      </c>
      <c r="Q78">
        <f>P78*0.15</f>
        <v>1.2180473372781062</v>
      </c>
      <c r="R78">
        <f>Q78/D78</f>
        <v>0.16279161724001578</v>
      </c>
    </row>
    <row r="81" spans="1:10" x14ac:dyDescent="0.2">
      <c r="A81" t="s">
        <v>69</v>
      </c>
    </row>
    <row r="82" spans="1:10" x14ac:dyDescent="0.2">
      <c r="A82" s="7" t="s">
        <v>20</v>
      </c>
      <c r="B82" s="7" t="s">
        <v>40</v>
      </c>
      <c r="C82" s="7" t="s">
        <v>62</v>
      </c>
      <c r="D82" s="7" t="s">
        <v>42</v>
      </c>
      <c r="E82" s="7"/>
      <c r="F82" s="7" t="s">
        <v>64</v>
      </c>
      <c r="G82" s="7"/>
      <c r="H82" s="7" t="s">
        <v>65</v>
      </c>
      <c r="I82" s="7"/>
    </row>
    <row r="83" spans="1:10" x14ac:dyDescent="0.2">
      <c r="A83" s="7"/>
      <c r="B83" s="7"/>
      <c r="C83" s="7"/>
      <c r="D83" s="3" t="s">
        <v>6</v>
      </c>
      <c r="E83" s="3" t="s">
        <v>63</v>
      </c>
      <c r="F83" s="3" t="s">
        <v>6</v>
      </c>
      <c r="G83" s="3" t="s">
        <v>63</v>
      </c>
      <c r="H83" s="3" t="s">
        <v>6</v>
      </c>
      <c r="I83" s="3" t="s">
        <v>63</v>
      </c>
      <c r="J83" s="3" t="s">
        <v>72</v>
      </c>
    </row>
    <row r="84" spans="1:10" x14ac:dyDescent="0.2">
      <c r="A84" t="s">
        <v>75</v>
      </c>
      <c r="B84">
        <v>200</v>
      </c>
      <c r="C84">
        <v>5147.3</v>
      </c>
      <c r="D84">
        <f>C84/101.4</f>
        <v>50.762327416173569</v>
      </c>
      <c r="E84" t="s">
        <v>31</v>
      </c>
      <c r="F84">
        <v>993.5</v>
      </c>
      <c r="G84" t="s">
        <v>31</v>
      </c>
      <c r="H84">
        <f>F84/101.4*0.5*5</f>
        <v>24.494575936883628</v>
      </c>
      <c r="I84" t="s">
        <v>31</v>
      </c>
      <c r="J84">
        <f>H84/D84</f>
        <v>0.48253453266761215</v>
      </c>
    </row>
    <row r="85" spans="1:10" x14ac:dyDescent="0.2">
      <c r="A85" t="s">
        <v>68</v>
      </c>
      <c r="F85">
        <v>1184.9000000000001</v>
      </c>
      <c r="H85">
        <f>F85/101.4*0.5*5</f>
        <v>29.213510848126234</v>
      </c>
      <c r="J85">
        <f>H85/D84</f>
        <v>0.57549589104967658</v>
      </c>
    </row>
    <row r="87" spans="1:10" x14ac:dyDescent="0.2">
      <c r="A87" t="s">
        <v>70</v>
      </c>
    </row>
    <row r="88" spans="1:10" x14ac:dyDescent="0.2">
      <c r="A88" s="7" t="s">
        <v>20</v>
      </c>
      <c r="B88" s="7" t="s">
        <v>40</v>
      </c>
      <c r="C88" s="7" t="s">
        <v>62</v>
      </c>
      <c r="D88" s="7" t="s">
        <v>42</v>
      </c>
      <c r="E88" s="7"/>
      <c r="F88" s="7" t="s">
        <v>64</v>
      </c>
      <c r="G88" s="7"/>
      <c r="H88" s="7" t="s">
        <v>65</v>
      </c>
      <c r="I88" s="7"/>
    </row>
    <row r="89" spans="1:10" x14ac:dyDescent="0.2">
      <c r="A89" s="7"/>
      <c r="B89" s="7"/>
      <c r="C89" s="7"/>
      <c r="D89" s="3" t="s">
        <v>6</v>
      </c>
      <c r="E89" s="3" t="s">
        <v>63</v>
      </c>
      <c r="F89" s="3" t="s">
        <v>6</v>
      </c>
      <c r="G89" s="3" t="s">
        <v>63</v>
      </c>
      <c r="H89" s="3" t="s">
        <v>6</v>
      </c>
      <c r="I89" s="3" t="s">
        <v>63</v>
      </c>
    </row>
    <row r="90" spans="1:10" x14ac:dyDescent="0.2">
      <c r="A90" t="s">
        <v>75</v>
      </c>
      <c r="B90">
        <v>200</v>
      </c>
      <c r="C90">
        <v>2664</v>
      </c>
      <c r="D90">
        <f>C90*2/101.4</f>
        <v>52.544378698224847</v>
      </c>
      <c r="E90" t="s">
        <v>31</v>
      </c>
      <c r="F90">
        <v>699.2</v>
      </c>
      <c r="G90" t="s">
        <v>31</v>
      </c>
      <c r="H90">
        <f>F90*2/101.4*0.6*2.5</f>
        <v>20.68639053254438</v>
      </c>
      <c r="I90" t="s">
        <v>31</v>
      </c>
      <c r="J90">
        <f>H90/D90</f>
        <v>0.39369369369369372</v>
      </c>
    </row>
    <row r="93" spans="1:10" x14ac:dyDescent="0.2">
      <c r="A93" t="s">
        <v>71</v>
      </c>
    </row>
    <row r="94" spans="1:10" x14ac:dyDescent="0.2">
      <c r="A94" s="7" t="s">
        <v>20</v>
      </c>
      <c r="B94" s="7" t="s">
        <v>40</v>
      </c>
      <c r="C94" s="7" t="s">
        <v>62</v>
      </c>
      <c r="D94" s="7" t="s">
        <v>42</v>
      </c>
      <c r="E94" s="7"/>
      <c r="F94" s="7" t="s">
        <v>64</v>
      </c>
      <c r="G94" s="7"/>
      <c r="H94" s="7" t="s">
        <v>65</v>
      </c>
      <c r="I94" s="7"/>
    </row>
    <row r="95" spans="1:10" x14ac:dyDescent="0.2">
      <c r="A95" s="7"/>
      <c r="B95" s="7"/>
      <c r="C95" s="7"/>
      <c r="D95" s="3" t="s">
        <v>6</v>
      </c>
      <c r="E95" s="3" t="s">
        <v>63</v>
      </c>
      <c r="F95" s="3" t="s">
        <v>6</v>
      </c>
      <c r="G95" s="3" t="s">
        <v>63</v>
      </c>
      <c r="H95" s="3" t="s">
        <v>6</v>
      </c>
      <c r="I95" s="3" t="s">
        <v>63</v>
      </c>
    </row>
    <row r="96" spans="1:10" x14ac:dyDescent="0.2">
      <c r="A96" t="s">
        <v>75</v>
      </c>
      <c r="B96">
        <v>150</v>
      </c>
      <c r="C96">
        <v>2664</v>
      </c>
      <c r="D96">
        <f>C96*2/101.4</f>
        <v>52.544378698224847</v>
      </c>
      <c r="E96" t="s">
        <v>31</v>
      </c>
      <c r="F96">
        <v>1259.2</v>
      </c>
      <c r="G96" t="s">
        <v>31</v>
      </c>
      <c r="H96">
        <f>F96*2/101.4*0.6*2</f>
        <v>29.803550295857985</v>
      </c>
      <c r="I96" t="s">
        <v>31</v>
      </c>
      <c r="J96">
        <f>H96/D96</f>
        <v>0.56720720720720719</v>
      </c>
    </row>
    <row r="98" spans="1:18" x14ac:dyDescent="0.2">
      <c r="A98" s="7" t="s">
        <v>20</v>
      </c>
      <c r="B98" s="7" t="s">
        <v>40</v>
      </c>
      <c r="C98" s="7" t="s">
        <v>41</v>
      </c>
      <c r="D98" s="7" t="s">
        <v>42</v>
      </c>
      <c r="E98" s="8" t="s">
        <v>44</v>
      </c>
      <c r="F98" s="8"/>
      <c r="G98" s="8"/>
      <c r="H98" s="8"/>
      <c r="I98" s="8" t="s">
        <v>43</v>
      </c>
      <c r="J98" s="8"/>
      <c r="K98" s="8"/>
      <c r="L98" s="8"/>
      <c r="M98" s="8" t="s">
        <v>45</v>
      </c>
      <c r="N98" s="8"/>
      <c r="O98" s="8"/>
      <c r="P98" s="8"/>
      <c r="Q98" s="7" t="s">
        <v>48</v>
      </c>
      <c r="R98" s="3"/>
    </row>
    <row r="99" spans="1:18" x14ac:dyDescent="0.2">
      <c r="A99" s="7"/>
      <c r="B99" s="7"/>
      <c r="C99" s="7"/>
      <c r="D99" s="7"/>
      <c r="E99" s="3" t="s">
        <v>37</v>
      </c>
      <c r="F99" s="3" t="s">
        <v>38</v>
      </c>
      <c r="G99" s="3" t="s">
        <v>39</v>
      </c>
      <c r="H99" s="3" t="s">
        <v>28</v>
      </c>
      <c r="I99" s="3" t="s">
        <v>37</v>
      </c>
      <c r="J99" s="3" t="s">
        <v>38</v>
      </c>
      <c r="K99" s="3" t="s">
        <v>39</v>
      </c>
      <c r="L99" s="3" t="s">
        <v>28</v>
      </c>
      <c r="M99" s="3" t="s">
        <v>37</v>
      </c>
      <c r="N99" s="3" t="s">
        <v>38</v>
      </c>
      <c r="O99" s="3" t="s">
        <v>39</v>
      </c>
      <c r="P99" s="3" t="s">
        <v>28</v>
      </c>
      <c r="Q99" s="7"/>
      <c r="R99" s="3" t="s">
        <v>49</v>
      </c>
    </row>
    <row r="100" spans="1:18" x14ac:dyDescent="0.2">
      <c r="A100" t="s">
        <v>75</v>
      </c>
      <c r="B100">
        <v>150</v>
      </c>
      <c r="D100">
        <f>H96/2</f>
        <v>14.901775147928992</v>
      </c>
      <c r="E100">
        <v>2071.9</v>
      </c>
      <c r="F100" t="s">
        <v>31</v>
      </c>
      <c r="G100" t="s">
        <v>31</v>
      </c>
      <c r="H100">
        <f>E100*2/101.4</f>
        <v>40.865877712031555</v>
      </c>
      <c r="I100">
        <v>110.5</v>
      </c>
      <c r="J100" t="s">
        <v>31</v>
      </c>
      <c r="K100" t="s">
        <v>31</v>
      </c>
      <c r="L100">
        <f>I100*2/101.4</f>
        <v>2.1794871794871793</v>
      </c>
      <c r="M100">
        <v>197.5</v>
      </c>
      <c r="N100" t="s">
        <v>31</v>
      </c>
      <c r="O100" t="s">
        <v>31</v>
      </c>
      <c r="P100">
        <f>M100*2/101.4</f>
        <v>3.8954635108481259</v>
      </c>
      <c r="Q100">
        <f>P100*0.2</f>
        <v>0.77909270216962523</v>
      </c>
      <c r="R100">
        <f>Q100/D100</f>
        <v>5.2281872088098265E-2</v>
      </c>
    </row>
    <row r="103" spans="1:18" x14ac:dyDescent="0.2">
      <c r="A103" t="s">
        <v>74</v>
      </c>
    </row>
    <row r="104" spans="1:18" x14ac:dyDescent="0.2">
      <c r="A104" s="7" t="s">
        <v>20</v>
      </c>
      <c r="B104" s="7" t="s">
        <v>40</v>
      </c>
      <c r="C104" s="7" t="s">
        <v>62</v>
      </c>
      <c r="D104" s="7" t="s">
        <v>42</v>
      </c>
      <c r="E104" s="7"/>
      <c r="F104" s="7" t="s">
        <v>64</v>
      </c>
      <c r="G104" s="7"/>
      <c r="H104" s="7" t="s">
        <v>65</v>
      </c>
      <c r="I104" s="7"/>
    </row>
    <row r="105" spans="1:18" x14ac:dyDescent="0.2">
      <c r="A105" s="7"/>
      <c r="B105" s="7"/>
      <c r="C105" s="7"/>
      <c r="D105" s="3" t="s">
        <v>6</v>
      </c>
      <c r="E105" s="3" t="s">
        <v>63</v>
      </c>
      <c r="F105" s="3" t="s">
        <v>6</v>
      </c>
      <c r="G105" s="3" t="s">
        <v>63</v>
      </c>
      <c r="H105" s="3" t="s">
        <v>6</v>
      </c>
      <c r="I105" s="3" t="s">
        <v>63</v>
      </c>
    </row>
    <row r="106" spans="1:18" x14ac:dyDescent="0.2">
      <c r="A106" t="s">
        <v>75</v>
      </c>
      <c r="B106">
        <v>100</v>
      </c>
      <c r="C106">
        <v>2110.9</v>
      </c>
      <c r="D106">
        <f>C106/101.04*0.005</f>
        <v>0.10445863024544735</v>
      </c>
      <c r="E106" t="s">
        <v>31</v>
      </c>
      <c r="F106">
        <v>31.5</v>
      </c>
      <c r="G106" t="s">
        <v>31</v>
      </c>
      <c r="H106">
        <f>F106/101.04*0.3</f>
        <v>9.3527315914489303E-2</v>
      </c>
      <c r="I106" t="s">
        <v>31</v>
      </c>
      <c r="J106">
        <f>H106/D106</f>
        <v>0.89535269316405308</v>
      </c>
    </row>
    <row r="108" spans="1:18" x14ac:dyDescent="0.2">
      <c r="A108" s="7" t="s">
        <v>20</v>
      </c>
      <c r="B108" s="7" t="s">
        <v>40</v>
      </c>
      <c r="C108" s="7" t="s">
        <v>41</v>
      </c>
      <c r="D108" s="7" t="s">
        <v>42</v>
      </c>
      <c r="E108" s="8" t="s">
        <v>44</v>
      </c>
      <c r="F108" s="8"/>
      <c r="G108" s="8"/>
      <c r="H108" s="8"/>
      <c r="I108" s="8" t="s">
        <v>43</v>
      </c>
      <c r="J108" s="8"/>
      <c r="K108" s="8"/>
      <c r="L108" s="8"/>
      <c r="M108" s="8" t="s">
        <v>45</v>
      </c>
      <c r="N108" s="8"/>
      <c r="O108" s="8"/>
      <c r="P108" s="8"/>
      <c r="Q108" s="7" t="s">
        <v>48</v>
      </c>
      <c r="R108" s="3"/>
    </row>
    <row r="109" spans="1:18" x14ac:dyDescent="0.2">
      <c r="A109" s="7"/>
      <c r="B109" s="7"/>
      <c r="C109" s="7"/>
      <c r="D109" s="7"/>
      <c r="E109" s="3" t="s">
        <v>37</v>
      </c>
      <c r="F109" s="3" t="s">
        <v>38</v>
      </c>
      <c r="G109" s="3" t="s">
        <v>39</v>
      </c>
      <c r="H109" s="3" t="s">
        <v>28</v>
      </c>
      <c r="I109" s="3" t="s">
        <v>37</v>
      </c>
      <c r="J109" s="3" t="s">
        <v>38</v>
      </c>
      <c r="K109" s="3" t="s">
        <v>39</v>
      </c>
      <c r="L109" s="3" t="s">
        <v>28</v>
      </c>
      <c r="M109" s="3" t="s">
        <v>37</v>
      </c>
      <c r="N109" s="3" t="s">
        <v>38</v>
      </c>
      <c r="O109" s="3" t="s">
        <v>39</v>
      </c>
      <c r="P109" s="3" t="s">
        <v>28</v>
      </c>
      <c r="Q109" s="7"/>
      <c r="R109" s="3" t="s">
        <v>49</v>
      </c>
    </row>
    <row r="110" spans="1:18" x14ac:dyDescent="0.2">
      <c r="A110" t="s">
        <v>75</v>
      </c>
      <c r="B110">
        <v>100</v>
      </c>
      <c r="C110">
        <v>68.5</v>
      </c>
      <c r="D110">
        <f>C110/101.04*0.2/2</f>
        <v>6.7794932699920818E-2</v>
      </c>
      <c r="E110" t="s">
        <v>31</v>
      </c>
      <c r="F110" t="s">
        <v>31</v>
      </c>
      <c r="G110" t="s">
        <v>31</v>
      </c>
      <c r="H110" t="s">
        <v>31</v>
      </c>
      <c r="I110" t="s">
        <v>31</v>
      </c>
      <c r="J110" t="s">
        <v>31</v>
      </c>
      <c r="K110" t="s">
        <v>31</v>
      </c>
      <c r="L110" t="s">
        <v>31</v>
      </c>
      <c r="M110">
        <v>14</v>
      </c>
      <c r="N110" t="s">
        <v>31</v>
      </c>
      <c r="O110" t="s">
        <v>31</v>
      </c>
      <c r="P110">
        <f>M110/101.04</f>
        <v>0.13855898653998416</v>
      </c>
      <c r="Q110">
        <f>P110*0.2</f>
        <v>2.7711797307996833E-2</v>
      </c>
      <c r="R110">
        <f>Q110/D110</f>
        <v>0.4087591240875913</v>
      </c>
    </row>
    <row r="112" spans="1:18" x14ac:dyDescent="0.2">
      <c r="A112" s="7" t="s">
        <v>20</v>
      </c>
      <c r="B112" s="7" t="s">
        <v>40</v>
      </c>
      <c r="C112" s="7" t="s">
        <v>41</v>
      </c>
      <c r="D112" s="7" t="s">
        <v>42</v>
      </c>
      <c r="E112" s="8" t="s">
        <v>44</v>
      </c>
      <c r="F112" s="8"/>
      <c r="G112" s="8"/>
      <c r="H112" s="8"/>
      <c r="I112" s="8" t="s">
        <v>43</v>
      </c>
      <c r="J112" s="8"/>
      <c r="K112" s="8"/>
      <c r="L112" s="8"/>
      <c r="M112" s="8" t="s">
        <v>45</v>
      </c>
      <c r="N112" s="8"/>
      <c r="O112" s="8"/>
      <c r="P112" s="8"/>
      <c r="Q112" s="7" t="s">
        <v>48</v>
      </c>
      <c r="R112" s="3"/>
    </row>
    <row r="113" spans="1:18" x14ac:dyDescent="0.2">
      <c r="A113" s="7"/>
      <c r="B113" s="7"/>
      <c r="C113" s="7"/>
      <c r="D113" s="7"/>
      <c r="E113" s="3" t="s">
        <v>37</v>
      </c>
      <c r="F113" s="3" t="s">
        <v>38</v>
      </c>
      <c r="G113" s="3" t="s">
        <v>39</v>
      </c>
      <c r="H113" s="3" t="s">
        <v>28</v>
      </c>
      <c r="I113" s="3" t="s">
        <v>37</v>
      </c>
      <c r="J113" s="3" t="s">
        <v>38</v>
      </c>
      <c r="K113" s="3" t="s">
        <v>39</v>
      </c>
      <c r="L113" s="3" t="s">
        <v>28</v>
      </c>
      <c r="M113" s="3" t="s">
        <v>37</v>
      </c>
      <c r="N113" s="3" t="s">
        <v>38</v>
      </c>
      <c r="O113" s="3" t="s">
        <v>39</v>
      </c>
      <c r="P113" s="3" t="s">
        <v>28</v>
      </c>
      <c r="Q113" s="7"/>
      <c r="R113" s="3" t="s">
        <v>49</v>
      </c>
    </row>
    <row r="114" spans="1:18" x14ac:dyDescent="0.2">
      <c r="A114" t="s">
        <v>75</v>
      </c>
      <c r="B114">
        <v>100</v>
      </c>
      <c r="D114">
        <f>H106/2</f>
        <v>4.6763657957244652E-2</v>
      </c>
      <c r="E114">
        <v>22.4</v>
      </c>
      <c r="F114" t="s">
        <v>31</v>
      </c>
      <c r="G114" t="s">
        <v>31</v>
      </c>
      <c r="H114">
        <f>E114/101.04</f>
        <v>0.22169437846397463</v>
      </c>
      <c r="I114" t="s">
        <v>31</v>
      </c>
      <c r="J114" t="s">
        <v>31</v>
      </c>
      <c r="K114" t="s">
        <v>31</v>
      </c>
      <c r="L114" t="s">
        <v>31</v>
      </c>
      <c r="N114" t="s">
        <v>31</v>
      </c>
      <c r="O114" t="s">
        <v>31</v>
      </c>
      <c r="P114">
        <f>M114/101.04</f>
        <v>0</v>
      </c>
      <c r="Q114">
        <f>P114*0.2</f>
        <v>0</v>
      </c>
      <c r="R114">
        <f>Q114/D114</f>
        <v>0</v>
      </c>
    </row>
    <row r="116" spans="1:18" x14ac:dyDescent="0.2">
      <c r="A116" s="7" t="s">
        <v>20</v>
      </c>
      <c r="B116" s="7" t="s">
        <v>40</v>
      </c>
      <c r="C116" s="7" t="s">
        <v>62</v>
      </c>
      <c r="D116" s="7" t="s">
        <v>42</v>
      </c>
      <c r="E116" s="7"/>
      <c r="F116" s="7" t="s">
        <v>64</v>
      </c>
      <c r="G116" s="7"/>
      <c r="H116" s="7" t="s">
        <v>65</v>
      </c>
      <c r="I116" s="7"/>
    </row>
    <row r="117" spans="1:18" x14ac:dyDescent="0.2">
      <c r="A117" s="7"/>
      <c r="B117" s="7"/>
      <c r="C117" s="7"/>
      <c r="D117" s="3" t="s">
        <v>6</v>
      </c>
      <c r="E117" s="3" t="s">
        <v>63</v>
      </c>
      <c r="F117" s="3" t="s">
        <v>6</v>
      </c>
      <c r="G117" s="3" t="s">
        <v>63</v>
      </c>
      <c r="H117" s="3" t="s">
        <v>6</v>
      </c>
      <c r="I117" s="3" t="s">
        <v>63</v>
      </c>
    </row>
    <row r="118" spans="1:18" x14ac:dyDescent="0.2">
      <c r="A118" t="s">
        <v>46</v>
      </c>
      <c r="B118">
        <v>100</v>
      </c>
      <c r="C118">
        <v>87.4</v>
      </c>
      <c r="D118">
        <f>C118/101.04*1/2</f>
        <v>0.43250197941409341</v>
      </c>
      <c r="E118" t="s">
        <v>31</v>
      </c>
      <c r="F118">
        <v>108.6</v>
      </c>
      <c r="G118" t="s">
        <v>31</v>
      </c>
      <c r="H118">
        <f>F118/101.04*0.3</f>
        <v>0.3224465558194774</v>
      </c>
      <c r="I118" t="s">
        <v>31</v>
      </c>
      <c r="J118">
        <f>H118/D118</f>
        <v>0.74553775743707085</v>
      </c>
    </row>
    <row r="120" spans="1:18" x14ac:dyDescent="0.2">
      <c r="A120" t="s">
        <v>74</v>
      </c>
    </row>
    <row r="121" spans="1:18" x14ac:dyDescent="0.2">
      <c r="A121" s="7" t="s">
        <v>20</v>
      </c>
      <c r="B121" s="7" t="s">
        <v>40</v>
      </c>
      <c r="C121" s="7" t="s">
        <v>62</v>
      </c>
      <c r="D121" s="7" t="s">
        <v>42</v>
      </c>
      <c r="E121" s="7"/>
      <c r="F121" s="7" t="s">
        <v>64</v>
      </c>
      <c r="G121" s="7"/>
      <c r="H121" s="7" t="s">
        <v>65</v>
      </c>
      <c r="I121" s="7"/>
    </row>
    <row r="122" spans="1:18" x14ac:dyDescent="0.2">
      <c r="A122" s="7"/>
      <c r="B122" s="7"/>
      <c r="C122" s="7"/>
      <c r="D122" s="3" t="s">
        <v>6</v>
      </c>
      <c r="E122" s="3" t="s">
        <v>63</v>
      </c>
      <c r="F122" s="3" t="s">
        <v>6</v>
      </c>
      <c r="G122" s="3" t="s">
        <v>63</v>
      </c>
      <c r="H122" s="3" t="s">
        <v>6</v>
      </c>
      <c r="I122" s="3" t="s">
        <v>63</v>
      </c>
    </row>
    <row r="123" spans="1:18" x14ac:dyDescent="0.2">
      <c r="A123" t="s">
        <v>75</v>
      </c>
      <c r="B123">
        <v>200</v>
      </c>
      <c r="C123">
        <v>3794.4</v>
      </c>
      <c r="D123">
        <f>C123/101.04*0.01</f>
        <v>0.37553444180522561</v>
      </c>
      <c r="E123" t="s">
        <v>31</v>
      </c>
      <c r="F123">
        <v>220.9</v>
      </c>
      <c r="G123" t="s">
        <v>31</v>
      </c>
      <c r="H123">
        <f>F123/101.04*0.15</f>
        <v>0.32793942992874103</v>
      </c>
      <c r="I123" t="s">
        <v>31</v>
      </c>
      <c r="J123">
        <f>H123/D123</f>
        <v>0.87326059456040472</v>
      </c>
    </row>
    <row r="125" spans="1:18" x14ac:dyDescent="0.2">
      <c r="A125" t="s">
        <v>76</v>
      </c>
      <c r="B125">
        <v>200</v>
      </c>
      <c r="C125">
        <v>3794.4</v>
      </c>
      <c r="D125">
        <f t="shared" ref="D125:D133" si="4">C125/101.04*0.01</f>
        <v>0.37553444180522561</v>
      </c>
      <c r="F125">
        <v>38.799999999999997</v>
      </c>
      <c r="H125">
        <f t="shared" ref="H125:H133" si="5">F125/101.04*0.15</f>
        <v>5.7600950118764836E-2</v>
      </c>
      <c r="J125">
        <f t="shared" ref="J125:J133" si="6">H125/D125</f>
        <v>0.15338393421884883</v>
      </c>
    </row>
    <row r="127" spans="1:18" x14ac:dyDescent="0.2">
      <c r="A127" t="s">
        <v>77</v>
      </c>
      <c r="B127">
        <v>200</v>
      </c>
      <c r="C127">
        <v>3794.4</v>
      </c>
      <c r="D127">
        <f t="shared" si="4"/>
        <v>0.37553444180522561</v>
      </c>
      <c r="F127">
        <v>57.2</v>
      </c>
      <c r="H127">
        <f t="shared" si="5"/>
        <v>8.4916864608076015E-2</v>
      </c>
      <c r="J127">
        <f t="shared" si="6"/>
        <v>0.22612270714737512</v>
      </c>
    </row>
    <row r="129" spans="1:10" x14ac:dyDescent="0.2">
      <c r="A129" t="s">
        <v>78</v>
      </c>
      <c r="B129">
        <v>200</v>
      </c>
      <c r="C129">
        <v>3794.4</v>
      </c>
      <c r="D129">
        <f t="shared" si="4"/>
        <v>0.37553444180522561</v>
      </c>
      <c r="F129">
        <v>220.4</v>
      </c>
      <c r="H129">
        <f t="shared" si="5"/>
        <v>0.32719714964370544</v>
      </c>
      <c r="J129">
        <f t="shared" si="6"/>
        <v>0.87128399746995577</v>
      </c>
    </row>
    <row r="131" spans="1:10" x14ac:dyDescent="0.2">
      <c r="A131" t="s">
        <v>79</v>
      </c>
      <c r="B131">
        <v>200</v>
      </c>
      <c r="C131">
        <v>3794.4</v>
      </c>
      <c r="D131">
        <f t="shared" si="4"/>
        <v>0.37553444180522561</v>
      </c>
      <c r="F131">
        <v>137.1</v>
      </c>
      <c r="H131">
        <f t="shared" si="5"/>
        <v>0.20353325415676957</v>
      </c>
      <c r="J131">
        <f t="shared" si="6"/>
        <v>0.54198292220113853</v>
      </c>
    </row>
    <row r="133" spans="1:10" x14ac:dyDescent="0.2">
      <c r="A133" t="s">
        <v>46</v>
      </c>
      <c r="B133">
        <v>200</v>
      </c>
      <c r="C133">
        <v>3794.4</v>
      </c>
      <c r="D133">
        <f t="shared" si="4"/>
        <v>0.37553444180522561</v>
      </c>
      <c r="F133">
        <v>80.7</v>
      </c>
      <c r="H133">
        <f t="shared" si="5"/>
        <v>0.11980403800475058</v>
      </c>
      <c r="J133">
        <f t="shared" si="6"/>
        <v>0.31902277039848198</v>
      </c>
    </row>
    <row r="135" spans="1:10" x14ac:dyDescent="0.2">
      <c r="A135" t="s">
        <v>80</v>
      </c>
    </row>
    <row r="136" spans="1:10" x14ac:dyDescent="0.2">
      <c r="A136" s="7" t="s">
        <v>20</v>
      </c>
      <c r="B136" s="7" t="s">
        <v>40</v>
      </c>
      <c r="C136" s="7" t="s">
        <v>62</v>
      </c>
      <c r="D136" s="7" t="s">
        <v>42</v>
      </c>
      <c r="E136" s="7"/>
      <c r="F136" s="7" t="s">
        <v>64</v>
      </c>
      <c r="G136" s="7"/>
      <c r="H136" s="7" t="s">
        <v>65</v>
      </c>
      <c r="I136" s="7"/>
    </row>
    <row r="137" spans="1:10" x14ac:dyDescent="0.2">
      <c r="A137" s="7"/>
      <c r="B137" s="7"/>
      <c r="C137" s="7"/>
      <c r="D137" s="3" t="s">
        <v>6</v>
      </c>
      <c r="E137" s="3" t="s">
        <v>63</v>
      </c>
      <c r="F137" s="3" t="s">
        <v>6</v>
      </c>
      <c r="G137" s="3" t="s">
        <v>63</v>
      </c>
      <c r="H137" s="3" t="s">
        <v>6</v>
      </c>
      <c r="I137" s="3" t="s">
        <v>63</v>
      </c>
    </row>
    <row r="138" spans="1:10" x14ac:dyDescent="0.2">
      <c r="A138" t="s">
        <v>46</v>
      </c>
      <c r="B138">
        <v>200</v>
      </c>
      <c r="C138">
        <v>3794.4</v>
      </c>
      <c r="D138">
        <f>C138/101.04*0.01</f>
        <v>0.37553444180522561</v>
      </c>
      <c r="F138">
        <v>128.5</v>
      </c>
      <c r="H138">
        <f t="shared" ref="H138" si="7">F138/101.04*0.15</f>
        <v>0.19076603325415672</v>
      </c>
      <c r="J138">
        <f t="shared" ref="J138" si="8">H138/D138</f>
        <v>0.50798545224541425</v>
      </c>
    </row>
    <row r="140" spans="1:10" x14ac:dyDescent="0.2">
      <c r="A140" t="s">
        <v>81</v>
      </c>
    </row>
    <row r="141" spans="1:10" x14ac:dyDescent="0.2">
      <c r="A141" s="7" t="s">
        <v>20</v>
      </c>
      <c r="B141" s="7" t="s">
        <v>40</v>
      </c>
      <c r="C141" s="7" t="s">
        <v>62</v>
      </c>
      <c r="D141" s="7" t="s">
        <v>42</v>
      </c>
      <c r="E141" s="7"/>
      <c r="F141" s="7" t="s">
        <v>64</v>
      </c>
      <c r="G141" s="7"/>
      <c r="H141" s="7" t="s">
        <v>65</v>
      </c>
      <c r="I141" s="7"/>
    </row>
    <row r="142" spans="1:10" x14ac:dyDescent="0.2">
      <c r="A142" s="7"/>
      <c r="B142" s="7"/>
      <c r="C142" s="7"/>
      <c r="D142" s="3" t="s">
        <v>6</v>
      </c>
      <c r="E142" s="3" t="s">
        <v>63</v>
      </c>
      <c r="F142" s="3" t="s">
        <v>6</v>
      </c>
      <c r="G142" s="3" t="s">
        <v>63</v>
      </c>
      <c r="H142" s="3" t="s">
        <v>6</v>
      </c>
      <c r="I142" s="3" t="s">
        <v>63</v>
      </c>
    </row>
    <row r="143" spans="1:10" x14ac:dyDescent="0.2">
      <c r="A143" t="s">
        <v>46</v>
      </c>
      <c r="B143">
        <v>200</v>
      </c>
      <c r="C143">
        <v>3794.4</v>
      </c>
      <c r="D143">
        <f>C143/101.04*0.01</f>
        <v>0.37553444180522561</v>
      </c>
      <c r="F143">
        <v>223.5</v>
      </c>
      <c r="H143">
        <f t="shared" ref="H143" si="9">F143/101.04*0.15</f>
        <v>0.33179928741092635</v>
      </c>
      <c r="J143">
        <f t="shared" ref="J143" si="10">H143/D143</f>
        <v>0.88353889943074015</v>
      </c>
    </row>
    <row r="145" spans="1:10" x14ac:dyDescent="0.2">
      <c r="A145" t="s">
        <v>79</v>
      </c>
      <c r="B145">
        <v>200</v>
      </c>
      <c r="C145">
        <v>3794.4</v>
      </c>
      <c r="D145">
        <f>C145/101.04*0.01</f>
        <v>0.37553444180522561</v>
      </c>
      <c r="F145">
        <v>87.4</v>
      </c>
      <c r="H145">
        <f t="shared" ref="H145" si="11">F145/101.04*0.15</f>
        <v>0.12975059382422802</v>
      </c>
      <c r="J145">
        <f t="shared" ref="J145" si="12">H145/D145</f>
        <v>0.34550917141049969</v>
      </c>
    </row>
    <row r="148" spans="1:10" x14ac:dyDescent="0.2">
      <c r="A148" t="s">
        <v>82</v>
      </c>
    </row>
    <row r="149" spans="1:10" x14ac:dyDescent="0.2">
      <c r="A149" s="7" t="s">
        <v>20</v>
      </c>
      <c r="B149" s="7" t="s">
        <v>40</v>
      </c>
      <c r="C149" s="7" t="s">
        <v>62</v>
      </c>
      <c r="D149" s="7" t="s">
        <v>42</v>
      </c>
      <c r="E149" s="7"/>
      <c r="F149" s="7" t="s">
        <v>64</v>
      </c>
      <c r="G149" s="7"/>
      <c r="H149" s="7" t="s">
        <v>65</v>
      </c>
      <c r="I149" s="7"/>
    </row>
    <row r="150" spans="1:10" x14ac:dyDescent="0.2">
      <c r="A150" s="7"/>
      <c r="B150" s="7"/>
      <c r="C150" s="7"/>
      <c r="D150" s="3" t="s">
        <v>6</v>
      </c>
      <c r="E150" s="3" t="s">
        <v>63</v>
      </c>
      <c r="F150" s="3" t="s">
        <v>6</v>
      </c>
      <c r="G150" s="3" t="s">
        <v>63</v>
      </c>
      <c r="H150" s="3" t="s">
        <v>6</v>
      </c>
      <c r="I150" s="3" t="s">
        <v>63</v>
      </c>
    </row>
    <row r="151" spans="1:10" x14ac:dyDescent="0.2">
      <c r="A151" t="s">
        <v>46</v>
      </c>
      <c r="C151">
        <v>3794.4</v>
      </c>
      <c r="D151">
        <f>C151/101.04*0.01</f>
        <v>0.37553444180522561</v>
      </c>
      <c r="F151">
        <v>201.2</v>
      </c>
      <c r="H151">
        <f t="shared" ref="H151" si="13">F151/101.04*0.15</f>
        <v>0.29869358669833723</v>
      </c>
      <c r="J151">
        <f t="shared" ref="J151" si="14">H151/D151</f>
        <v>0.79538266919671086</v>
      </c>
    </row>
    <row r="153" spans="1:10" x14ac:dyDescent="0.2">
      <c r="A153" t="s">
        <v>79</v>
      </c>
      <c r="C153">
        <v>3794.4</v>
      </c>
      <c r="D153">
        <f>C153/101.04*0.01</f>
        <v>0.37553444180522561</v>
      </c>
      <c r="F153">
        <v>223.1</v>
      </c>
      <c r="H153">
        <f t="shared" ref="H153" si="15">F153/101.04*0.15</f>
        <v>0.33120546318289784</v>
      </c>
      <c r="J153">
        <f t="shared" ref="J153" si="16">H153/D153</f>
        <v>0.88195762175838088</v>
      </c>
    </row>
    <row r="155" spans="1:10" x14ac:dyDescent="0.2">
      <c r="A155" t="s">
        <v>83</v>
      </c>
    </row>
    <row r="156" spans="1:10" x14ac:dyDescent="0.2">
      <c r="A156" s="7" t="s">
        <v>20</v>
      </c>
      <c r="B156" s="7" t="s">
        <v>40</v>
      </c>
      <c r="C156" s="7" t="s">
        <v>62</v>
      </c>
      <c r="D156" s="7" t="s">
        <v>42</v>
      </c>
      <c r="E156" s="7"/>
      <c r="F156" s="7" t="s">
        <v>64</v>
      </c>
      <c r="G156" s="7"/>
      <c r="H156" s="7" t="s">
        <v>65</v>
      </c>
      <c r="I156" s="7"/>
    </row>
    <row r="157" spans="1:10" x14ac:dyDescent="0.2">
      <c r="A157" s="7"/>
      <c r="B157" s="7"/>
      <c r="C157" s="7"/>
      <c r="D157" s="3" t="s">
        <v>6</v>
      </c>
      <c r="E157" s="3" t="s">
        <v>63</v>
      </c>
      <c r="F157" s="3" t="s">
        <v>6</v>
      </c>
      <c r="G157" s="3" t="s">
        <v>63</v>
      </c>
      <c r="H157" s="3" t="s">
        <v>6</v>
      </c>
      <c r="I157" s="3" t="s">
        <v>63</v>
      </c>
    </row>
    <row r="158" spans="1:10" x14ac:dyDescent="0.2">
      <c r="A158" t="s">
        <v>46</v>
      </c>
      <c r="C158">
        <v>4276.8999999999996</v>
      </c>
      <c r="D158">
        <f>C158/101.04*0.01</f>
        <v>0.42328780680918443</v>
      </c>
      <c r="F158">
        <v>74</v>
      </c>
      <c r="H158">
        <f>F158/101.04*0.15*2</f>
        <v>0.2197149643705463</v>
      </c>
      <c r="J158">
        <f t="shared" ref="J158" si="17">H158/D158</f>
        <v>0.51906754892562368</v>
      </c>
    </row>
    <row r="159" spans="1:10" x14ac:dyDescent="0.2">
      <c r="F159">
        <v>21.8</v>
      </c>
      <c r="H159">
        <f>F159/101.04*0.15*2</f>
        <v>6.4726840855106882E-2</v>
      </c>
    </row>
    <row r="161" spans="1:10" x14ac:dyDescent="0.2">
      <c r="A161" t="s">
        <v>79</v>
      </c>
      <c r="C161">
        <v>4276.8999999999996</v>
      </c>
      <c r="D161">
        <f>C161/101.04*0.01</f>
        <v>0.42328780680918443</v>
      </c>
      <c r="F161">
        <v>94.2</v>
      </c>
      <c r="H161">
        <f>F161/101.04*0.15*2</f>
        <v>0.27969121140142517</v>
      </c>
      <c r="J161">
        <f t="shared" ref="J161" si="18">H161/D161</f>
        <v>0.66075896092964537</v>
      </c>
    </row>
    <row r="162" spans="1:10" x14ac:dyDescent="0.2">
      <c r="F162" t="s">
        <v>31</v>
      </c>
    </row>
    <row r="164" spans="1:10" x14ac:dyDescent="0.2">
      <c r="A164" s="4" t="s">
        <v>85</v>
      </c>
    </row>
    <row r="165" spans="1:10" x14ac:dyDescent="0.2">
      <c r="A165" s="3" t="s">
        <v>88</v>
      </c>
    </row>
    <row r="166" spans="1:10" x14ac:dyDescent="0.2">
      <c r="A166" s="7" t="s">
        <v>20</v>
      </c>
      <c r="B166" s="7" t="s">
        <v>40</v>
      </c>
      <c r="C166" s="7" t="s">
        <v>62</v>
      </c>
      <c r="D166" s="7" t="s">
        <v>42</v>
      </c>
      <c r="E166" s="7"/>
      <c r="F166" s="7" t="s">
        <v>64</v>
      </c>
      <c r="G166" s="7"/>
      <c r="H166" s="7" t="s">
        <v>65</v>
      </c>
      <c r="I166" s="7"/>
    </row>
    <row r="167" spans="1:10" x14ac:dyDescent="0.2">
      <c r="A167" s="7"/>
      <c r="B167" s="7"/>
      <c r="C167" s="7"/>
      <c r="D167" s="3" t="s">
        <v>6</v>
      </c>
      <c r="E167" s="3" t="s">
        <v>63</v>
      </c>
      <c r="F167" s="3" t="s">
        <v>6</v>
      </c>
      <c r="G167" s="3" t="s">
        <v>63</v>
      </c>
      <c r="H167" s="3" t="s">
        <v>6</v>
      </c>
      <c r="I167" s="3" t="s">
        <v>63</v>
      </c>
    </row>
    <row r="168" spans="1:10" x14ac:dyDescent="0.2">
      <c r="A168" t="s">
        <v>87</v>
      </c>
      <c r="B168">
        <v>200</v>
      </c>
      <c r="C168">
        <v>3416.7</v>
      </c>
      <c r="D168">
        <f>C168/101.4*0.01</f>
        <v>0.33695266272189345</v>
      </c>
      <c r="F168">
        <v>207.6</v>
      </c>
      <c r="H168">
        <f>F168/101.4*0.15</f>
        <v>0.30710059171597631</v>
      </c>
      <c r="J168">
        <f>H168/D168</f>
        <v>0.91140574238300121</v>
      </c>
    </row>
    <row r="170" spans="1:10" x14ac:dyDescent="0.2">
      <c r="A170" s="3" t="s">
        <v>86</v>
      </c>
    </row>
    <row r="171" spans="1:10" x14ac:dyDescent="0.2">
      <c r="A171" s="7" t="s">
        <v>20</v>
      </c>
      <c r="B171" s="7" t="s">
        <v>40</v>
      </c>
      <c r="C171" s="7" t="s">
        <v>62</v>
      </c>
      <c r="D171" s="7" t="s">
        <v>42</v>
      </c>
      <c r="E171" s="7"/>
      <c r="F171" s="7" t="s">
        <v>64</v>
      </c>
      <c r="G171" s="7"/>
      <c r="H171" s="7" t="s">
        <v>65</v>
      </c>
      <c r="I171" s="7"/>
    </row>
    <row r="172" spans="1:10" x14ac:dyDescent="0.2">
      <c r="A172" s="7"/>
      <c r="B172" s="7"/>
      <c r="C172" s="7"/>
      <c r="D172" s="3" t="s">
        <v>6</v>
      </c>
      <c r="E172" s="3" t="s">
        <v>63</v>
      </c>
      <c r="F172" s="3" t="s">
        <v>6</v>
      </c>
      <c r="G172" s="3" t="s">
        <v>63</v>
      </c>
      <c r="H172" s="3" t="s">
        <v>6</v>
      </c>
      <c r="I172" s="3" t="s">
        <v>63</v>
      </c>
    </row>
    <row r="173" spans="1:10" x14ac:dyDescent="0.2">
      <c r="A173" t="s">
        <v>87</v>
      </c>
      <c r="B173">
        <v>200</v>
      </c>
      <c r="C173">
        <v>3416.7</v>
      </c>
      <c r="D173">
        <f>C173/101.4*0.01</f>
        <v>0.33695266272189345</v>
      </c>
      <c r="F173">
        <v>0</v>
      </c>
      <c r="H173">
        <f>F173/101.4*0.15</f>
        <v>0</v>
      </c>
      <c r="J173">
        <f>H173/D173</f>
        <v>0</v>
      </c>
    </row>
    <row r="175" spans="1:10" x14ac:dyDescent="0.2">
      <c r="A175" s="5" t="s">
        <v>89</v>
      </c>
      <c r="B175" s="1"/>
      <c r="C175" s="1"/>
      <c r="D175" s="1"/>
      <c r="E175" s="1"/>
      <c r="F175" s="1"/>
      <c r="G175" s="1"/>
      <c r="H175" s="1"/>
      <c r="I175" s="1"/>
      <c r="J175" s="1"/>
    </row>
    <row r="176" spans="1:10" x14ac:dyDescent="0.2">
      <c r="A176" s="6" t="s">
        <v>20</v>
      </c>
      <c r="B176" s="6" t="s">
        <v>40</v>
      </c>
      <c r="C176" s="6" t="s">
        <v>62</v>
      </c>
      <c r="D176" s="6" t="s">
        <v>42</v>
      </c>
      <c r="E176" s="6"/>
      <c r="F176" s="6" t="s">
        <v>64</v>
      </c>
      <c r="G176" s="6"/>
      <c r="H176" s="6" t="s">
        <v>65</v>
      </c>
      <c r="I176" s="6"/>
      <c r="J176" s="1"/>
    </row>
    <row r="177" spans="1:10" x14ac:dyDescent="0.2">
      <c r="A177" s="6"/>
      <c r="B177" s="6"/>
      <c r="C177" s="6"/>
      <c r="D177" s="5" t="s">
        <v>6</v>
      </c>
      <c r="E177" s="5" t="s">
        <v>63</v>
      </c>
      <c r="F177" s="5" t="s">
        <v>6</v>
      </c>
      <c r="G177" s="5" t="s">
        <v>63</v>
      </c>
      <c r="H177" s="5" t="s">
        <v>6</v>
      </c>
      <c r="I177" s="5" t="s">
        <v>63</v>
      </c>
      <c r="J177" s="1"/>
    </row>
    <row r="178" spans="1:10" x14ac:dyDescent="0.2">
      <c r="A178" s="1" t="s">
        <v>87</v>
      </c>
      <c r="B178" s="1">
        <v>200</v>
      </c>
      <c r="C178" s="1">
        <v>3416.7</v>
      </c>
      <c r="D178" s="1">
        <v>0.33695266299999999</v>
      </c>
      <c r="E178" s="1"/>
      <c r="F178" s="1">
        <v>135.30000000000001</v>
      </c>
      <c r="G178" s="1"/>
      <c r="H178">
        <f>F178/101.4*0.15</f>
        <v>0.20014792899408285</v>
      </c>
      <c r="I178" s="1"/>
      <c r="J178">
        <f>H178/D178</f>
        <v>0.59399420444432827</v>
      </c>
    </row>
    <row r="180" spans="1:10" x14ac:dyDescent="0.2">
      <c r="A180" s="5" t="s">
        <v>90</v>
      </c>
      <c r="B180" s="1"/>
      <c r="C180" s="1"/>
      <c r="D180" s="1"/>
      <c r="E180" s="1"/>
      <c r="F180" s="1"/>
      <c r="G180" s="1"/>
      <c r="H180" s="1"/>
      <c r="I180" s="1"/>
      <c r="J180" s="1"/>
    </row>
    <row r="181" spans="1:10" x14ac:dyDescent="0.2">
      <c r="A181" s="6" t="s">
        <v>20</v>
      </c>
      <c r="B181" s="6" t="s">
        <v>40</v>
      </c>
      <c r="C181" s="6" t="s">
        <v>62</v>
      </c>
      <c r="D181" s="6" t="s">
        <v>42</v>
      </c>
      <c r="E181" s="6"/>
      <c r="F181" s="6" t="s">
        <v>64</v>
      </c>
      <c r="G181" s="6"/>
      <c r="H181" s="6" t="s">
        <v>65</v>
      </c>
      <c r="I181" s="6"/>
      <c r="J181" s="1"/>
    </row>
    <row r="182" spans="1:10" x14ac:dyDescent="0.2">
      <c r="A182" s="6"/>
      <c r="B182" s="6"/>
      <c r="C182" s="6"/>
      <c r="D182" s="5" t="s">
        <v>6</v>
      </c>
      <c r="E182" s="5" t="s">
        <v>63</v>
      </c>
      <c r="F182" s="5" t="s">
        <v>6</v>
      </c>
      <c r="G182" s="5" t="s">
        <v>63</v>
      </c>
      <c r="H182" s="5" t="s">
        <v>6</v>
      </c>
      <c r="I182" s="5" t="s">
        <v>63</v>
      </c>
      <c r="J182" s="1"/>
    </row>
    <row r="183" spans="1:10" x14ac:dyDescent="0.2">
      <c r="A183" s="1" t="s">
        <v>87</v>
      </c>
      <c r="B183" s="1">
        <v>200</v>
      </c>
      <c r="C183" s="1">
        <v>3416.7</v>
      </c>
      <c r="D183" s="1">
        <v>0.33695266299999999</v>
      </c>
      <c r="E183" s="1"/>
      <c r="F183" s="1">
        <v>166.2</v>
      </c>
      <c r="G183" s="1"/>
      <c r="H183">
        <f>F183/101.4*0.15</f>
        <v>0.24585798816568041</v>
      </c>
      <c r="I183" s="1"/>
      <c r="J183">
        <f>H183/D183</f>
        <v>0.72965141743272233</v>
      </c>
    </row>
    <row r="186" spans="1:10" x14ac:dyDescent="0.2">
      <c r="A186" s="4" t="s">
        <v>85</v>
      </c>
    </row>
    <row r="187" spans="1:10" x14ac:dyDescent="0.2">
      <c r="A187" s="3" t="s">
        <v>88</v>
      </c>
    </row>
    <row r="188" spans="1:10" x14ac:dyDescent="0.2">
      <c r="A188" s="7" t="s">
        <v>20</v>
      </c>
      <c r="B188" s="7" t="s">
        <v>40</v>
      </c>
      <c r="C188" s="7" t="s">
        <v>62</v>
      </c>
      <c r="D188" s="7" t="s">
        <v>42</v>
      </c>
      <c r="E188" s="7"/>
      <c r="F188" s="7" t="s">
        <v>64</v>
      </c>
      <c r="G188" s="7"/>
      <c r="H188" s="7" t="s">
        <v>65</v>
      </c>
      <c r="I188" s="7"/>
    </row>
    <row r="189" spans="1:10" x14ac:dyDescent="0.2">
      <c r="A189" s="7"/>
      <c r="B189" s="7"/>
      <c r="C189" s="7"/>
      <c r="D189" s="3" t="s">
        <v>6</v>
      </c>
      <c r="E189" s="3" t="s">
        <v>63</v>
      </c>
      <c r="F189" s="3" t="s">
        <v>6</v>
      </c>
      <c r="G189" s="3" t="s">
        <v>63</v>
      </c>
      <c r="H189" s="3" t="s">
        <v>6</v>
      </c>
      <c r="I189" s="3" t="s">
        <v>63</v>
      </c>
    </row>
    <row r="190" spans="1:10" x14ac:dyDescent="0.2">
      <c r="A190" t="s">
        <v>34</v>
      </c>
      <c r="B190">
        <v>200</v>
      </c>
      <c r="C190">
        <v>3257.1</v>
      </c>
      <c r="D190">
        <f>C190/101.4*0.01</f>
        <v>0.32121301775147926</v>
      </c>
      <c r="F190">
        <v>182.2</v>
      </c>
      <c r="H190">
        <f>F190/101.4*0.15</f>
        <v>0.26952662721893489</v>
      </c>
      <c r="J190">
        <f>H190/D190</f>
        <v>0.83908998802615831</v>
      </c>
    </row>
    <row r="192" spans="1:10" x14ac:dyDescent="0.2">
      <c r="A192" t="s">
        <v>32</v>
      </c>
      <c r="B192">
        <v>200</v>
      </c>
      <c r="C192">
        <v>3257.1</v>
      </c>
      <c r="D192">
        <f>C192/101.4*0.01</f>
        <v>0.32121301775147926</v>
      </c>
      <c r="F192">
        <v>218.8</v>
      </c>
      <c r="H192">
        <f>F192/101.4*0.15</f>
        <v>0.32366863905325444</v>
      </c>
      <c r="J192">
        <f>H192/D192</f>
        <v>1.0076448374320717</v>
      </c>
    </row>
    <row r="194" spans="1:10" x14ac:dyDescent="0.2">
      <c r="A194" s="5" t="s">
        <v>89</v>
      </c>
      <c r="B194" s="1"/>
      <c r="C194" s="1"/>
      <c r="D194" s="1"/>
      <c r="E194" s="1"/>
      <c r="F194" s="1"/>
      <c r="G194" s="1"/>
      <c r="H194" s="1"/>
      <c r="I194" s="1"/>
      <c r="J194" s="1"/>
    </row>
    <row r="195" spans="1:10" x14ac:dyDescent="0.2">
      <c r="A195" s="6" t="s">
        <v>20</v>
      </c>
      <c r="B195" s="6" t="s">
        <v>40</v>
      </c>
      <c r="C195" s="6" t="s">
        <v>62</v>
      </c>
      <c r="D195" s="6" t="s">
        <v>42</v>
      </c>
      <c r="E195" s="6"/>
      <c r="F195" s="6" t="s">
        <v>64</v>
      </c>
      <c r="G195" s="6"/>
      <c r="H195" s="6" t="s">
        <v>65</v>
      </c>
      <c r="I195" s="6"/>
      <c r="J195" s="1"/>
    </row>
    <row r="196" spans="1:10" x14ac:dyDescent="0.2">
      <c r="A196" s="6"/>
      <c r="B196" s="6"/>
      <c r="C196" s="6"/>
      <c r="D196" s="5" t="s">
        <v>6</v>
      </c>
      <c r="E196" s="5" t="s">
        <v>63</v>
      </c>
      <c r="F196" s="5" t="s">
        <v>6</v>
      </c>
      <c r="G196" s="5" t="s">
        <v>63</v>
      </c>
      <c r="H196" s="5" t="s">
        <v>6</v>
      </c>
      <c r="I196" s="5" t="s">
        <v>63</v>
      </c>
      <c r="J196" s="1"/>
    </row>
    <row r="197" spans="1:10" x14ac:dyDescent="0.2">
      <c r="A197" t="s">
        <v>34</v>
      </c>
      <c r="B197">
        <v>200</v>
      </c>
      <c r="C197">
        <v>3257.1</v>
      </c>
      <c r="D197">
        <f>C197/101.4*0.01</f>
        <v>0.32121301775147926</v>
      </c>
      <c r="F197">
        <v>89.4</v>
      </c>
      <c r="H197">
        <f>F197/101.4*0.15</f>
        <v>0.13224852071005919</v>
      </c>
      <c r="J197">
        <f>H197/D197</f>
        <v>0.41171594363083736</v>
      </c>
    </row>
    <row r="199" spans="1:10" x14ac:dyDescent="0.2">
      <c r="A199" t="s">
        <v>32</v>
      </c>
      <c r="B199">
        <v>200</v>
      </c>
      <c r="C199">
        <v>3257.1</v>
      </c>
      <c r="D199">
        <f>C199/101.4*0.01</f>
        <v>0.32121301775147926</v>
      </c>
      <c r="F199">
        <v>96.3</v>
      </c>
      <c r="H199">
        <f>F199/101.4*0.15</f>
        <v>0.14245562130177514</v>
      </c>
      <c r="J199">
        <f>H199/D199</f>
        <v>0.44349267753523075</v>
      </c>
    </row>
  </sheetData>
  <mergeCells count="182">
    <mergeCell ref="A188:A189"/>
    <mergeCell ref="B188:B189"/>
    <mergeCell ref="C188:C189"/>
    <mergeCell ref="D188:E188"/>
    <mergeCell ref="F188:G188"/>
    <mergeCell ref="H188:I188"/>
    <mergeCell ref="A195:A196"/>
    <mergeCell ref="B195:B196"/>
    <mergeCell ref="C195:C196"/>
    <mergeCell ref="D195:E195"/>
    <mergeCell ref="F195:G195"/>
    <mergeCell ref="H195:I195"/>
    <mergeCell ref="A156:A157"/>
    <mergeCell ref="B156:B157"/>
    <mergeCell ref="C156:C157"/>
    <mergeCell ref="D156:E156"/>
    <mergeCell ref="F156:G156"/>
    <mergeCell ref="H156:I156"/>
    <mergeCell ref="A141:A142"/>
    <mergeCell ref="B141:B142"/>
    <mergeCell ref="C141:C142"/>
    <mergeCell ref="D141:E141"/>
    <mergeCell ref="F141:G141"/>
    <mergeCell ref="H141:I141"/>
    <mergeCell ref="A149:A150"/>
    <mergeCell ref="B149:B150"/>
    <mergeCell ref="C149:C150"/>
    <mergeCell ref="D149:E149"/>
    <mergeCell ref="F149:G149"/>
    <mergeCell ref="H149:I149"/>
    <mergeCell ref="A121:A122"/>
    <mergeCell ref="B121:B122"/>
    <mergeCell ref="C121:C122"/>
    <mergeCell ref="D121:E121"/>
    <mergeCell ref="F121:G121"/>
    <mergeCell ref="H121:I121"/>
    <mergeCell ref="A136:A137"/>
    <mergeCell ref="B136:B137"/>
    <mergeCell ref="C136:C137"/>
    <mergeCell ref="D136:E136"/>
    <mergeCell ref="F136:G136"/>
    <mergeCell ref="H136:I136"/>
    <mergeCell ref="M108:P108"/>
    <mergeCell ref="Q108:Q109"/>
    <mergeCell ref="A112:A113"/>
    <mergeCell ref="B112:B113"/>
    <mergeCell ref="C112:C113"/>
    <mergeCell ref="D112:D113"/>
    <mergeCell ref="E112:H112"/>
    <mergeCell ref="I112:L112"/>
    <mergeCell ref="M112:P112"/>
    <mergeCell ref="Q112:Q113"/>
    <mergeCell ref="H104:I104"/>
    <mergeCell ref="A108:A109"/>
    <mergeCell ref="B108:B109"/>
    <mergeCell ref="C108:C109"/>
    <mergeCell ref="D108:D109"/>
    <mergeCell ref="E108:H108"/>
    <mergeCell ref="I108:L108"/>
    <mergeCell ref="A104:A105"/>
    <mergeCell ref="B104:B105"/>
    <mergeCell ref="C104:C105"/>
    <mergeCell ref="D104:E104"/>
    <mergeCell ref="F104:G104"/>
    <mergeCell ref="H71:I71"/>
    <mergeCell ref="A82:A83"/>
    <mergeCell ref="B82:B83"/>
    <mergeCell ref="C82:C83"/>
    <mergeCell ref="D82:E82"/>
    <mergeCell ref="F82:G82"/>
    <mergeCell ref="H82:I82"/>
    <mergeCell ref="A71:A72"/>
    <mergeCell ref="B71:B72"/>
    <mergeCell ref="C71:C72"/>
    <mergeCell ref="D71:E71"/>
    <mergeCell ref="F71:G71"/>
    <mergeCell ref="A76:A77"/>
    <mergeCell ref="B76:B77"/>
    <mergeCell ref="C76:C77"/>
    <mergeCell ref="D76:D77"/>
    <mergeCell ref="E76:H76"/>
    <mergeCell ref="I76:L76"/>
    <mergeCell ref="Q19:Q20"/>
    <mergeCell ref="A19:A20"/>
    <mergeCell ref="E19:H19"/>
    <mergeCell ref="I19:L19"/>
    <mergeCell ref="M19:P19"/>
    <mergeCell ref="D19:D20"/>
    <mergeCell ref="C19:C20"/>
    <mergeCell ref="B19:B20"/>
    <mergeCell ref="I50:L50"/>
    <mergeCell ref="M50:P50"/>
    <mergeCell ref="Q50:Q51"/>
    <mergeCell ref="E43:H43"/>
    <mergeCell ref="A50:A51"/>
    <mergeCell ref="B50:B51"/>
    <mergeCell ref="C50:C51"/>
    <mergeCell ref="D50:D51"/>
    <mergeCell ref="E50:H50"/>
    <mergeCell ref="F63:G63"/>
    <mergeCell ref="I27:L27"/>
    <mergeCell ref="M27:P27"/>
    <mergeCell ref="Q27:Q28"/>
    <mergeCell ref="A27:A28"/>
    <mergeCell ref="B27:B28"/>
    <mergeCell ref="C27:C28"/>
    <mergeCell ref="D27:D28"/>
    <mergeCell ref="E27:H27"/>
    <mergeCell ref="M56:P56"/>
    <mergeCell ref="Q56:Q57"/>
    <mergeCell ref="B94:B95"/>
    <mergeCell ref="C94:C95"/>
    <mergeCell ref="D94:E94"/>
    <mergeCell ref="F94:G94"/>
    <mergeCell ref="H63:I63"/>
    <mergeCell ref="I36:L36"/>
    <mergeCell ref="M36:P36"/>
    <mergeCell ref="Q36:Q37"/>
    <mergeCell ref="A36:A37"/>
    <mergeCell ref="B36:B37"/>
    <mergeCell ref="C36:C37"/>
    <mergeCell ref="D36:D37"/>
    <mergeCell ref="E36:H36"/>
    <mergeCell ref="I43:L43"/>
    <mergeCell ref="M43:P43"/>
    <mergeCell ref="Q43:Q44"/>
    <mergeCell ref="A43:A44"/>
    <mergeCell ref="B43:B44"/>
    <mergeCell ref="C43:C44"/>
    <mergeCell ref="D43:D44"/>
    <mergeCell ref="A63:A64"/>
    <mergeCell ref="B63:B64"/>
    <mergeCell ref="C63:C64"/>
    <mergeCell ref="D63:E63"/>
    <mergeCell ref="A116:A117"/>
    <mergeCell ref="B116:B117"/>
    <mergeCell ref="C116:C117"/>
    <mergeCell ref="D116:E116"/>
    <mergeCell ref="F116:G116"/>
    <mergeCell ref="H116:I116"/>
    <mergeCell ref="M76:P76"/>
    <mergeCell ref="Q76:Q77"/>
    <mergeCell ref="A88:A89"/>
    <mergeCell ref="B88:B89"/>
    <mergeCell ref="C88:C89"/>
    <mergeCell ref="D88:E88"/>
    <mergeCell ref="F88:G88"/>
    <mergeCell ref="H88:I88"/>
    <mergeCell ref="M98:P98"/>
    <mergeCell ref="Q98:Q99"/>
    <mergeCell ref="H94:I94"/>
    <mergeCell ref="A98:A99"/>
    <mergeCell ref="B98:B99"/>
    <mergeCell ref="C98:C99"/>
    <mergeCell ref="D98:D99"/>
    <mergeCell ref="E98:H98"/>
    <mergeCell ref="I98:L98"/>
    <mergeCell ref="A94:A95"/>
    <mergeCell ref="A166:A167"/>
    <mergeCell ref="B166:B167"/>
    <mergeCell ref="C166:C167"/>
    <mergeCell ref="D166:E166"/>
    <mergeCell ref="F166:G166"/>
    <mergeCell ref="H166:I166"/>
    <mergeCell ref="A171:A172"/>
    <mergeCell ref="B171:B172"/>
    <mergeCell ref="C171:C172"/>
    <mergeCell ref="D171:E171"/>
    <mergeCell ref="F171:G171"/>
    <mergeCell ref="H171:I171"/>
    <mergeCell ref="A176:A177"/>
    <mergeCell ref="B176:B177"/>
    <mergeCell ref="C176:C177"/>
    <mergeCell ref="D176:E176"/>
    <mergeCell ref="F176:G176"/>
    <mergeCell ref="H176:I176"/>
    <mergeCell ref="A181:A182"/>
    <mergeCell ref="B181:B182"/>
    <mergeCell ref="C181:C182"/>
    <mergeCell ref="D181:E181"/>
    <mergeCell ref="F181:G181"/>
    <mergeCell ref="H181:I18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CC in vitro</vt:lpstr>
      <vt:lpstr>pre-test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Weng Jingwen</cp:lastModifiedBy>
  <dcterms:created xsi:type="dcterms:W3CDTF">2020-06-17T08:16:34Z</dcterms:created>
  <dcterms:modified xsi:type="dcterms:W3CDTF">2022-05-25T11:15:31Z</dcterms:modified>
</cp:coreProperties>
</file>