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irenewjw_connect_hku_hk/Documents/Thesis/Data/Nano release/"/>
    </mc:Choice>
  </mc:AlternateContent>
  <xr:revisionPtr revIDLastSave="216" documentId="114_{B848C437-9D7A-2940-BB48-257FA8A14C74}" xr6:coauthVersionLast="47" xr6:coauthVersionMax="47" xr10:uidLastSave="{1E0DC3F0-4F05-754B-A34F-1C00732AC654}"/>
  <bookViews>
    <workbookView xWindow="1160" yWindow="1040" windowWidth="27640" windowHeight="15440" activeTab="5" xr2:uid="{8FAE01B9-6B88-4740-BD2B-8AD2E83FA04A}"/>
  </bookViews>
  <sheets>
    <sheet name="10 Jul 2019" sheetId="4" r:id="rId1"/>
    <sheet name="11 Jul 2019" sheetId="2" r:id="rId2"/>
    <sheet name="23 Jul 2019" sheetId="3" r:id="rId3"/>
    <sheet name="stat" sheetId="5" r:id="rId4"/>
    <sheet name="Model fit" sheetId="6" r:id="rId5"/>
    <sheet name="Model fit (2)" sheetId="7" r:id="rId6"/>
  </sheets>
  <definedNames>
    <definedName name="solver_adj" localSheetId="4" hidden="1">'Model fit'!$G$20</definedName>
    <definedName name="solver_adj" localSheetId="5" hidden="1">'Model fit (2)'!$G$68:$G$69</definedName>
    <definedName name="solver_cvg" localSheetId="4" hidden="1">0.0001</definedName>
    <definedName name="solver_cvg" localSheetId="5" hidden="1">0.0001</definedName>
    <definedName name="solver_drv" localSheetId="4" hidden="1">1</definedName>
    <definedName name="solver_drv" localSheetId="5" hidden="1">1</definedName>
    <definedName name="solver_eng" localSheetId="4" hidden="1">1</definedName>
    <definedName name="solver_eng" localSheetId="5" hidden="1">1</definedName>
    <definedName name="solver_itr" localSheetId="4" hidden="1">2147483647</definedName>
    <definedName name="solver_itr" localSheetId="5" hidden="1">2147483647</definedName>
    <definedName name="solver_lhs1" localSheetId="4" hidden="1">'Model fit'!$G$53</definedName>
    <definedName name="solver_lhs1" localSheetId="5" hidden="1">'Model fit (2)'!$G$52</definedName>
    <definedName name="solver_lin" localSheetId="4" hidden="1">2</definedName>
    <definedName name="solver_lin" localSheetId="5" hidden="1">2</definedName>
    <definedName name="solver_mip" localSheetId="4" hidden="1">2147483647</definedName>
    <definedName name="solver_mip" localSheetId="5" hidden="1">2147483647</definedName>
    <definedName name="solver_mni" localSheetId="4" hidden="1">30</definedName>
    <definedName name="solver_mni" localSheetId="5" hidden="1">30</definedName>
    <definedName name="solver_mrt" localSheetId="4" hidden="1">0.075</definedName>
    <definedName name="solver_mrt" localSheetId="5" hidden="1">0.075</definedName>
    <definedName name="solver_msl" localSheetId="4" hidden="1">2</definedName>
    <definedName name="solver_msl" localSheetId="5" hidden="1">2</definedName>
    <definedName name="solver_neg" localSheetId="4" hidden="1">1</definedName>
    <definedName name="solver_neg" localSheetId="5" hidden="1">1</definedName>
    <definedName name="solver_nod" localSheetId="4" hidden="1">2147483647</definedName>
    <definedName name="solver_nod" localSheetId="5" hidden="1">2147483647</definedName>
    <definedName name="solver_num" localSheetId="4" hidden="1">0</definedName>
    <definedName name="solver_num" localSheetId="5" hidden="1">1</definedName>
    <definedName name="solver_opt" localSheetId="4" hidden="1">'Model fit'!$G$24</definedName>
    <definedName name="solver_opt" localSheetId="5" hidden="1">'Model fit (2)'!$G$73</definedName>
    <definedName name="solver_pre" localSheetId="4" hidden="1">0.000001</definedName>
    <definedName name="solver_pre" localSheetId="5" hidden="1">0.000001</definedName>
    <definedName name="solver_rbv" localSheetId="4" hidden="1">1</definedName>
    <definedName name="solver_rbv" localSheetId="5" hidden="1">1</definedName>
    <definedName name="solver_rel1" localSheetId="4" hidden="1">3</definedName>
    <definedName name="solver_rel1" localSheetId="5" hidden="1">3</definedName>
    <definedName name="solver_rhs1" localSheetId="4" hidden="1">0</definedName>
    <definedName name="solver_rhs1" localSheetId="5" hidden="1">0</definedName>
    <definedName name="solver_rlx" localSheetId="4" hidden="1">2</definedName>
    <definedName name="solver_rlx" localSheetId="5" hidden="1">2</definedName>
    <definedName name="solver_rsd" localSheetId="4" hidden="1">0</definedName>
    <definedName name="solver_rsd" localSheetId="5" hidden="1">0</definedName>
    <definedName name="solver_scl" localSheetId="4" hidden="1">1</definedName>
    <definedName name="solver_scl" localSheetId="5" hidden="1">1</definedName>
    <definedName name="solver_sho" localSheetId="4" hidden="1">2</definedName>
    <definedName name="solver_sho" localSheetId="5" hidden="1">2</definedName>
    <definedName name="solver_ssz" localSheetId="4" hidden="1">100</definedName>
    <definedName name="solver_ssz" localSheetId="5" hidden="1">100</definedName>
    <definedName name="solver_tim" localSheetId="4" hidden="1">2147483647</definedName>
    <definedName name="solver_tim" localSheetId="5" hidden="1">2147483647</definedName>
    <definedName name="solver_tol" localSheetId="4" hidden="1">0.01</definedName>
    <definedName name="solver_tol" localSheetId="5" hidden="1">0.01</definedName>
    <definedName name="solver_typ" localSheetId="4" hidden="1">2</definedName>
    <definedName name="solver_typ" localSheetId="5" hidden="1">2</definedName>
    <definedName name="solver_val" localSheetId="4" hidden="1">0</definedName>
    <definedName name="solver_val" localSheetId="5" hidden="1">0</definedName>
    <definedName name="solver_ver" localSheetId="4" hidden="1">2</definedName>
    <definedName name="solver_ver" localSheetId="5" hidden="1">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9" i="7" l="1"/>
  <c r="D69" i="7" s="1"/>
  <c r="C70" i="7"/>
  <c r="D70" i="7" s="1"/>
  <c r="C71" i="7"/>
  <c r="D71" i="7" s="1"/>
  <c r="C72" i="7"/>
  <c r="D72" i="7" s="1"/>
  <c r="C73" i="7"/>
  <c r="D73" i="7" s="1"/>
  <c r="C74" i="7"/>
  <c r="D74" i="7" s="1"/>
  <c r="C75" i="7"/>
  <c r="D75" i="7" s="1"/>
  <c r="C76" i="7"/>
  <c r="D76" i="7" s="1"/>
  <c r="C77" i="7"/>
  <c r="D77" i="7" s="1"/>
  <c r="C78" i="7"/>
  <c r="D78" i="7" s="1"/>
  <c r="C68" i="7"/>
  <c r="D68" i="7" s="1"/>
  <c r="C20" i="7"/>
  <c r="C21" i="6"/>
  <c r="C22" i="6"/>
  <c r="C23" i="6"/>
  <c r="C24" i="6"/>
  <c r="C25" i="6"/>
  <c r="C26" i="6"/>
  <c r="C27" i="6"/>
  <c r="C28" i="6"/>
  <c r="C29" i="6"/>
  <c r="C30" i="6"/>
  <c r="C20" i="6"/>
  <c r="H91" i="3"/>
  <c r="H90" i="3"/>
  <c r="H82" i="3"/>
  <c r="H81" i="3"/>
  <c r="G73" i="7" l="1"/>
  <c r="C86" i="3"/>
  <c r="C87" i="3" s="1"/>
  <c r="C85" i="3"/>
  <c r="C84" i="3"/>
  <c r="C76" i="3"/>
  <c r="C75" i="3"/>
  <c r="C58" i="3"/>
  <c r="C57" i="3"/>
  <c r="C56" i="3"/>
  <c r="C60" i="3" s="1"/>
  <c r="C54" i="3"/>
  <c r="C51" i="3"/>
  <c r="C52" i="3"/>
  <c r="C50" i="3"/>
  <c r="C53" i="3" s="1"/>
  <c r="C59" i="3" l="1"/>
  <c r="C77" i="3"/>
  <c r="C78" i="3" s="1"/>
  <c r="J83" i="3"/>
  <c r="K83" i="3" s="1"/>
  <c r="K76" i="3"/>
  <c r="G91" i="3" l="1"/>
  <c r="F91" i="3"/>
  <c r="G90" i="3"/>
  <c r="F90" i="3"/>
  <c r="G82" i="3"/>
  <c r="F82" i="3"/>
  <c r="G81" i="3"/>
  <c r="F81" i="3"/>
  <c r="C62" i="7" l="1"/>
  <c r="B62" i="7"/>
  <c r="C61" i="7"/>
  <c r="B61" i="7"/>
  <c r="C60" i="7"/>
  <c r="B60" i="7"/>
  <c r="C59" i="7"/>
  <c r="B59" i="7"/>
  <c r="C58" i="7"/>
  <c r="B58" i="7"/>
  <c r="C57" i="7"/>
  <c r="B57" i="7"/>
  <c r="C56" i="7"/>
  <c r="B56" i="7"/>
  <c r="C55" i="7"/>
  <c r="B55" i="7"/>
  <c r="C54" i="7"/>
  <c r="B54" i="7"/>
  <c r="C53" i="7"/>
  <c r="B53" i="7"/>
  <c r="C52" i="7"/>
  <c r="B52" i="7"/>
  <c r="C63" i="6"/>
  <c r="B63" i="6"/>
  <c r="C62" i="6"/>
  <c r="B62" i="6"/>
  <c r="D62" i="6" s="1"/>
  <c r="C61" i="6"/>
  <c r="B61" i="6"/>
  <c r="D61" i="6" s="1"/>
  <c r="C60" i="6"/>
  <c r="B60" i="6"/>
  <c r="C59" i="6"/>
  <c r="B59" i="6"/>
  <c r="D59" i="6" s="1"/>
  <c r="C58" i="6"/>
  <c r="B58" i="6"/>
  <c r="C57" i="6"/>
  <c r="B57" i="6"/>
  <c r="D57" i="6" s="1"/>
  <c r="C56" i="6"/>
  <c r="B56" i="6"/>
  <c r="C55" i="6"/>
  <c r="B55" i="6"/>
  <c r="C54" i="6"/>
  <c r="B54" i="6"/>
  <c r="C53" i="6"/>
  <c r="B53" i="6"/>
  <c r="D53" i="6" s="1"/>
  <c r="D52" i="7" l="1"/>
  <c r="D60" i="6"/>
  <c r="D53" i="7"/>
  <c r="D57" i="7"/>
  <c r="D61" i="7"/>
  <c r="D55" i="6"/>
  <c r="D54" i="6"/>
  <c r="D54" i="7"/>
  <c r="D56" i="7"/>
  <c r="D58" i="7"/>
  <c r="D60" i="7"/>
  <c r="D62" i="7"/>
  <c r="D55" i="7"/>
  <c r="D59" i="7"/>
  <c r="D63" i="6"/>
  <c r="D56" i="6"/>
  <c r="D58" i="6"/>
  <c r="G55" i="7" l="1"/>
  <c r="G56" i="6"/>
  <c r="G13" i="5" l="1"/>
  <c r="C46" i="7" l="1"/>
  <c r="B46" i="7"/>
  <c r="C45" i="7"/>
  <c r="B45" i="7"/>
  <c r="C44" i="7"/>
  <c r="B44" i="7"/>
  <c r="C43" i="7"/>
  <c r="B43" i="7"/>
  <c r="D43" i="7" s="1"/>
  <c r="C42" i="7"/>
  <c r="B42" i="7"/>
  <c r="C41" i="7"/>
  <c r="B41" i="7"/>
  <c r="C40" i="7"/>
  <c r="B40" i="7"/>
  <c r="C39" i="7"/>
  <c r="B39" i="7"/>
  <c r="C38" i="7"/>
  <c r="B38" i="7"/>
  <c r="C37" i="7"/>
  <c r="B37" i="7"/>
  <c r="C36" i="7"/>
  <c r="B36" i="7"/>
  <c r="D36" i="7" s="1"/>
  <c r="C30" i="7"/>
  <c r="D30" i="7" s="1"/>
  <c r="C29" i="7"/>
  <c r="D29" i="7" s="1"/>
  <c r="C28" i="7"/>
  <c r="D28" i="7" s="1"/>
  <c r="C27" i="7"/>
  <c r="D27" i="7" s="1"/>
  <c r="C26" i="7"/>
  <c r="D26" i="7" s="1"/>
  <c r="C25" i="7"/>
  <c r="D25" i="7" s="1"/>
  <c r="C24" i="7"/>
  <c r="D24" i="7" s="1"/>
  <c r="C23" i="7"/>
  <c r="D23" i="7" s="1"/>
  <c r="C22" i="7"/>
  <c r="D22" i="7" s="1"/>
  <c r="C21" i="7"/>
  <c r="D21" i="7" s="1"/>
  <c r="D20" i="7"/>
  <c r="C13" i="7"/>
  <c r="D13" i="7" s="1"/>
  <c r="C12" i="7"/>
  <c r="D12" i="7" s="1"/>
  <c r="C11" i="7"/>
  <c r="D11" i="7" s="1"/>
  <c r="C10" i="7"/>
  <c r="D10" i="7" s="1"/>
  <c r="C9" i="7"/>
  <c r="D9" i="7" s="1"/>
  <c r="C8" i="7"/>
  <c r="D8" i="7" s="1"/>
  <c r="C7" i="7"/>
  <c r="D7" i="7" s="1"/>
  <c r="C6" i="7"/>
  <c r="D6" i="7" s="1"/>
  <c r="C5" i="7"/>
  <c r="D5" i="7" s="1"/>
  <c r="C4" i="7"/>
  <c r="D4" i="7" s="1"/>
  <c r="C3" i="7"/>
  <c r="D3" i="7" s="1"/>
  <c r="D41" i="7" l="1"/>
  <c r="D42" i="7"/>
  <c r="D46" i="7"/>
  <c r="D40" i="7"/>
  <c r="D44" i="7"/>
  <c r="D37" i="7"/>
  <c r="D38" i="7"/>
  <c r="D39" i="7"/>
  <c r="G24" i="7"/>
  <c r="D45" i="7"/>
  <c r="G7" i="7"/>
  <c r="C37" i="6"/>
  <c r="C38" i="6"/>
  <c r="C39" i="6"/>
  <c r="C40" i="6"/>
  <c r="C41" i="6"/>
  <c r="C42" i="6"/>
  <c r="C43" i="6"/>
  <c r="C44" i="6"/>
  <c r="C45" i="6"/>
  <c r="C46" i="6"/>
  <c r="C36" i="6"/>
  <c r="B37" i="6"/>
  <c r="B38" i="6"/>
  <c r="B39" i="6"/>
  <c r="B40" i="6"/>
  <c r="B41" i="6"/>
  <c r="B42" i="6"/>
  <c r="B43" i="6"/>
  <c r="B44" i="6"/>
  <c r="B45" i="6"/>
  <c r="B46" i="6"/>
  <c r="B36" i="6"/>
  <c r="G39" i="7" l="1"/>
  <c r="D36" i="6"/>
  <c r="D43" i="6"/>
  <c r="D39" i="6"/>
  <c r="D46" i="6"/>
  <c r="D42" i="6"/>
  <c r="D38" i="6"/>
  <c r="D45" i="6"/>
  <c r="D41" i="6"/>
  <c r="D37" i="6"/>
  <c r="D44" i="6"/>
  <c r="D40" i="6"/>
  <c r="D20" i="6"/>
  <c r="D21" i="6"/>
  <c r="D22" i="6"/>
  <c r="D23" i="6"/>
  <c r="D24" i="6"/>
  <c r="D25" i="6"/>
  <c r="D26" i="6"/>
  <c r="D27" i="6"/>
  <c r="D28" i="6"/>
  <c r="D29" i="6"/>
  <c r="D30" i="6"/>
  <c r="G39" i="6" l="1"/>
  <c r="G24" i="6"/>
  <c r="C4" i="6"/>
  <c r="D4" i="6" s="1"/>
  <c r="C5" i="6"/>
  <c r="D5" i="6" s="1"/>
  <c r="C6" i="6"/>
  <c r="C7" i="6"/>
  <c r="C8" i="6"/>
  <c r="C9" i="6"/>
  <c r="C10" i="6"/>
  <c r="C11" i="6"/>
  <c r="D11" i="6" s="1"/>
  <c r="C12" i="6"/>
  <c r="D12" i="6" s="1"/>
  <c r="C13" i="6"/>
  <c r="D13" i="6" s="1"/>
  <c r="C3" i="6"/>
  <c r="D10" i="6" l="1"/>
  <c r="D9" i="6"/>
  <c r="D7" i="6"/>
  <c r="D8" i="6"/>
  <c r="D3" i="6"/>
  <c r="D6" i="6"/>
  <c r="B24" i="5"/>
  <c r="B18" i="5"/>
  <c r="C37" i="3"/>
  <c r="D37" i="3" s="1"/>
  <c r="E37" i="3" s="1"/>
  <c r="C38" i="3"/>
  <c r="D38" i="3" s="1"/>
  <c r="E38" i="3" s="1"/>
  <c r="C39" i="3"/>
  <c r="D39" i="3" s="1"/>
  <c r="E39" i="3" s="1"/>
  <c r="C40" i="3"/>
  <c r="D40" i="3" s="1"/>
  <c r="E40" i="3" s="1"/>
  <c r="C41" i="3"/>
  <c r="D41" i="3" s="1"/>
  <c r="E41" i="3" s="1"/>
  <c r="C42" i="3"/>
  <c r="D42" i="3" s="1"/>
  <c r="E42" i="3" s="1"/>
  <c r="C43" i="3"/>
  <c r="D43" i="3" s="1"/>
  <c r="E43" i="3" s="1"/>
  <c r="C44" i="3"/>
  <c r="D44" i="3" s="1"/>
  <c r="E44" i="3" s="1"/>
  <c r="C45" i="3"/>
  <c r="D45" i="3" s="1"/>
  <c r="E45" i="3" s="1"/>
  <c r="C36" i="3"/>
  <c r="D36" i="3" s="1"/>
  <c r="E36" i="3" s="1"/>
  <c r="B12" i="5"/>
  <c r="B6" i="5"/>
  <c r="G7" i="6" l="1"/>
  <c r="O37" i="3"/>
  <c r="P37" i="3" s="1"/>
  <c r="Q37" i="3" s="1"/>
  <c r="O38" i="3"/>
  <c r="P38" i="3" s="1"/>
  <c r="Q38" i="3" s="1"/>
  <c r="O39" i="3"/>
  <c r="P39" i="3" s="1"/>
  <c r="Q39" i="3" s="1"/>
  <c r="O40" i="3"/>
  <c r="P40" i="3" s="1"/>
  <c r="Q40" i="3" s="1"/>
  <c r="O41" i="3"/>
  <c r="P41" i="3" s="1"/>
  <c r="Q41" i="3" s="1"/>
  <c r="O42" i="3"/>
  <c r="P42" i="3" s="1"/>
  <c r="Q42" i="3" s="1"/>
  <c r="O43" i="3"/>
  <c r="P43" i="3" s="1"/>
  <c r="Q43" i="3" s="1"/>
  <c r="O44" i="3"/>
  <c r="P44" i="3" s="1"/>
  <c r="Q44" i="3" s="1"/>
  <c r="O45" i="3"/>
  <c r="P45" i="3" s="1"/>
  <c r="Q45" i="3" s="1"/>
  <c r="O36" i="3"/>
  <c r="P36" i="3" s="1"/>
  <c r="Q36" i="3" s="1"/>
  <c r="I37" i="3"/>
  <c r="J37" i="3" s="1"/>
  <c r="K37" i="3" s="1"/>
  <c r="I38" i="3"/>
  <c r="J38" i="3" s="1"/>
  <c r="K38" i="3" s="1"/>
  <c r="I39" i="3"/>
  <c r="J39" i="3" s="1"/>
  <c r="K39" i="3" s="1"/>
  <c r="I40" i="3"/>
  <c r="J40" i="3" s="1"/>
  <c r="K40" i="3" s="1"/>
  <c r="I41" i="3"/>
  <c r="J41" i="3" s="1"/>
  <c r="K41" i="3" s="1"/>
  <c r="I42" i="3"/>
  <c r="J42" i="3" s="1"/>
  <c r="K42" i="3" s="1"/>
  <c r="I43" i="3"/>
  <c r="J43" i="3" s="1"/>
  <c r="K43" i="3" s="1"/>
  <c r="I44" i="3"/>
  <c r="J44" i="3" s="1"/>
  <c r="K44" i="3" s="1"/>
  <c r="I45" i="3"/>
  <c r="J45" i="3" s="1"/>
  <c r="K45" i="3" s="1"/>
  <c r="I36" i="3"/>
  <c r="J36" i="3" s="1"/>
  <c r="K36" i="3" s="1"/>
  <c r="B28" i="3" l="1"/>
  <c r="B27" i="3"/>
  <c r="B26" i="3"/>
  <c r="B28" i="2"/>
  <c r="B27" i="2"/>
  <c r="B26" i="2"/>
  <c r="B29" i="2" l="1"/>
  <c r="B29" i="3"/>
  <c r="B27" i="4"/>
  <c r="B28" i="4"/>
  <c r="B26" i="4"/>
  <c r="B30" i="4" l="1"/>
  <c r="O53" i="2"/>
  <c r="P53" i="2" s="1"/>
  <c r="Q53" i="2" s="1"/>
  <c r="O54" i="2"/>
  <c r="P54" i="2" s="1"/>
  <c r="Q54" i="2" s="1"/>
  <c r="O55" i="2"/>
  <c r="P55" i="2" s="1"/>
  <c r="Q55" i="2" s="1"/>
  <c r="O56" i="2"/>
  <c r="P56" i="2" s="1"/>
  <c r="Q56" i="2" s="1"/>
  <c r="O57" i="2"/>
  <c r="P57" i="2" s="1"/>
  <c r="Q57" i="2" s="1"/>
  <c r="O58" i="2"/>
  <c r="P58" i="2" s="1"/>
  <c r="Q58" i="2" s="1"/>
  <c r="O59" i="2"/>
  <c r="P59" i="2" s="1"/>
  <c r="Q59" i="2" s="1"/>
  <c r="O60" i="2"/>
  <c r="P60" i="2" s="1"/>
  <c r="Q60" i="2" s="1"/>
  <c r="O61" i="2"/>
  <c r="P61" i="2" s="1"/>
  <c r="Q61" i="2" s="1"/>
  <c r="O52" i="2"/>
  <c r="P52" i="2" s="1"/>
  <c r="I53" i="2"/>
  <c r="J53" i="2" s="1"/>
  <c r="K53" i="2" s="1"/>
  <c r="I54" i="2"/>
  <c r="J54" i="2" s="1"/>
  <c r="K54" i="2" s="1"/>
  <c r="I55" i="2"/>
  <c r="J55" i="2" s="1"/>
  <c r="K55" i="2" s="1"/>
  <c r="I56" i="2"/>
  <c r="J56" i="2" s="1"/>
  <c r="K56" i="2" s="1"/>
  <c r="I57" i="2"/>
  <c r="J57" i="2" s="1"/>
  <c r="K57" i="2" s="1"/>
  <c r="I58" i="2"/>
  <c r="J58" i="2" s="1"/>
  <c r="K58" i="2" s="1"/>
  <c r="I59" i="2"/>
  <c r="J59" i="2" s="1"/>
  <c r="K59" i="2" s="1"/>
  <c r="I60" i="2"/>
  <c r="J60" i="2" s="1"/>
  <c r="K60" i="2" s="1"/>
  <c r="I61" i="2"/>
  <c r="J61" i="2" s="1"/>
  <c r="K61" i="2" s="1"/>
  <c r="I52" i="2"/>
  <c r="J52" i="2" s="1"/>
  <c r="K52" i="2" s="1"/>
  <c r="C53" i="2"/>
  <c r="D53" i="2" s="1"/>
  <c r="E53" i="2" s="1"/>
  <c r="C54" i="2"/>
  <c r="D54" i="2" s="1"/>
  <c r="E54" i="2" s="1"/>
  <c r="C55" i="2"/>
  <c r="D55" i="2" s="1"/>
  <c r="E55" i="2" s="1"/>
  <c r="C56" i="2"/>
  <c r="D56" i="2" s="1"/>
  <c r="E56" i="2" s="1"/>
  <c r="C57" i="2"/>
  <c r="D57" i="2" s="1"/>
  <c r="E57" i="2" s="1"/>
  <c r="C58" i="2"/>
  <c r="D58" i="2" s="1"/>
  <c r="E58" i="2" s="1"/>
  <c r="C59" i="2"/>
  <c r="D59" i="2" s="1"/>
  <c r="E59" i="2" s="1"/>
  <c r="C60" i="2"/>
  <c r="D60" i="2" s="1"/>
  <c r="E60" i="2" s="1"/>
  <c r="C61" i="2"/>
  <c r="D61" i="2" s="1"/>
  <c r="E61" i="2" s="1"/>
  <c r="C52" i="2"/>
  <c r="D52" i="2" s="1"/>
  <c r="E52" i="2" s="1"/>
  <c r="O37" i="2"/>
  <c r="P37" i="2" s="1"/>
  <c r="Q37" i="2" s="1"/>
  <c r="O38" i="2"/>
  <c r="P38" i="2" s="1"/>
  <c r="Q38" i="2" s="1"/>
  <c r="O39" i="2"/>
  <c r="P39" i="2" s="1"/>
  <c r="Q39" i="2" s="1"/>
  <c r="O40" i="2"/>
  <c r="P40" i="2" s="1"/>
  <c r="Q40" i="2" s="1"/>
  <c r="O41" i="2"/>
  <c r="P41" i="2" s="1"/>
  <c r="Q41" i="2" s="1"/>
  <c r="O42" i="2"/>
  <c r="P42" i="2" s="1"/>
  <c r="Q42" i="2" s="1"/>
  <c r="O43" i="2"/>
  <c r="P43" i="2" s="1"/>
  <c r="Q43" i="2" s="1"/>
  <c r="O44" i="2"/>
  <c r="P44" i="2" s="1"/>
  <c r="Q44" i="2" s="1"/>
  <c r="O45" i="2"/>
  <c r="P45" i="2" s="1"/>
  <c r="Q45" i="2" s="1"/>
  <c r="O36" i="2"/>
  <c r="P36" i="2" s="1"/>
  <c r="I37" i="2"/>
  <c r="J37" i="2" s="1"/>
  <c r="I38" i="2"/>
  <c r="J38" i="2" s="1"/>
  <c r="I39" i="2"/>
  <c r="J39" i="2" s="1"/>
  <c r="I40" i="2"/>
  <c r="J40" i="2" s="1"/>
  <c r="I41" i="2"/>
  <c r="J41" i="2" s="1"/>
  <c r="I42" i="2"/>
  <c r="J42" i="2" s="1"/>
  <c r="I43" i="2"/>
  <c r="J43" i="2" s="1"/>
  <c r="I44" i="2"/>
  <c r="J44" i="2" s="1"/>
  <c r="I45" i="2"/>
  <c r="J45" i="2" s="1"/>
  <c r="I36" i="2"/>
  <c r="J36" i="2" s="1"/>
  <c r="C37" i="2"/>
  <c r="D37" i="2" s="1"/>
  <c r="C38" i="2"/>
  <c r="D38" i="2" s="1"/>
  <c r="C39" i="2"/>
  <c r="D39" i="2" s="1"/>
  <c r="C40" i="2"/>
  <c r="D40" i="2" s="1"/>
  <c r="C41" i="2"/>
  <c r="D41" i="2" s="1"/>
  <c r="C42" i="2"/>
  <c r="D42" i="2" s="1"/>
  <c r="C43" i="2"/>
  <c r="D43" i="2" s="1"/>
  <c r="C44" i="2"/>
  <c r="D44" i="2" s="1"/>
  <c r="C45" i="2"/>
  <c r="D45" i="2" s="1"/>
  <c r="C36" i="2"/>
  <c r="D36" i="2" s="1"/>
  <c r="E36" i="2" s="1"/>
  <c r="O54" i="4" l="1"/>
  <c r="O55" i="4"/>
  <c r="O56" i="4"/>
  <c r="O57" i="4"/>
  <c r="O58" i="4"/>
  <c r="O59" i="4"/>
  <c r="O60" i="4"/>
  <c r="O61" i="4"/>
  <c r="O53" i="4"/>
  <c r="I54" i="4"/>
  <c r="J54" i="4" s="1"/>
  <c r="K54" i="4" s="1"/>
  <c r="I55" i="4"/>
  <c r="J55" i="4" s="1"/>
  <c r="K55" i="4" s="1"/>
  <c r="I56" i="4"/>
  <c r="J56" i="4" s="1"/>
  <c r="K56" i="4" s="1"/>
  <c r="I57" i="4"/>
  <c r="J57" i="4" s="1"/>
  <c r="K57" i="4" s="1"/>
  <c r="I58" i="4"/>
  <c r="J58" i="4" s="1"/>
  <c r="K58" i="4" s="1"/>
  <c r="I59" i="4"/>
  <c r="J59" i="4" s="1"/>
  <c r="K59" i="4" s="1"/>
  <c r="I60" i="4"/>
  <c r="J60" i="4" s="1"/>
  <c r="K60" i="4" s="1"/>
  <c r="I61" i="4"/>
  <c r="J61" i="4" s="1"/>
  <c r="K61" i="4" s="1"/>
  <c r="I53" i="4"/>
  <c r="J53" i="4" s="1"/>
  <c r="K53" i="4" s="1"/>
  <c r="C54" i="4"/>
  <c r="D54" i="4" s="1"/>
  <c r="E54" i="4" s="1"/>
  <c r="C55" i="4"/>
  <c r="D55" i="4" s="1"/>
  <c r="E55" i="4" s="1"/>
  <c r="C56" i="4"/>
  <c r="D56" i="4" s="1"/>
  <c r="E56" i="4" s="1"/>
  <c r="C57" i="4"/>
  <c r="D57" i="4" s="1"/>
  <c r="E57" i="4" s="1"/>
  <c r="C58" i="4"/>
  <c r="D58" i="4" s="1"/>
  <c r="E58" i="4" s="1"/>
  <c r="C59" i="4"/>
  <c r="D59" i="4" s="1"/>
  <c r="E59" i="4" s="1"/>
  <c r="C60" i="4"/>
  <c r="D60" i="4" s="1"/>
  <c r="E60" i="4" s="1"/>
  <c r="C61" i="4"/>
  <c r="D61" i="4" s="1"/>
  <c r="E61" i="4" s="1"/>
  <c r="C53" i="4"/>
  <c r="D53" i="4" s="1"/>
  <c r="E53" i="4" s="1"/>
  <c r="O36" i="4"/>
  <c r="P36" i="4" s="1"/>
  <c r="Q36" i="4" s="1"/>
  <c r="O37" i="4"/>
  <c r="P37" i="4" s="1"/>
  <c r="Q37" i="4" s="1"/>
  <c r="O38" i="4"/>
  <c r="P38" i="4" s="1"/>
  <c r="Q38" i="4" s="1"/>
  <c r="O39" i="4"/>
  <c r="P39" i="4" s="1"/>
  <c r="Q39" i="4" s="1"/>
  <c r="O40" i="4"/>
  <c r="P40" i="4" s="1"/>
  <c r="Q40" i="4" s="1"/>
  <c r="O41" i="4"/>
  <c r="P41" i="4" s="1"/>
  <c r="Q41" i="4" s="1"/>
  <c r="O42" i="4"/>
  <c r="P42" i="4" s="1"/>
  <c r="Q42" i="4" s="1"/>
  <c r="O43" i="4"/>
  <c r="P43" i="4" s="1"/>
  <c r="Q43" i="4" s="1"/>
  <c r="O44" i="4"/>
  <c r="P44" i="4" s="1"/>
  <c r="Q44" i="4" s="1"/>
  <c r="O45" i="4"/>
  <c r="P45" i="4" s="1"/>
  <c r="Q45" i="4" s="1"/>
  <c r="O35" i="4"/>
  <c r="P35" i="4" s="1"/>
  <c r="Q35" i="4" s="1"/>
  <c r="I36" i="4"/>
  <c r="J36" i="4" s="1"/>
  <c r="K36" i="4" s="1"/>
  <c r="I37" i="4"/>
  <c r="J37" i="4" s="1"/>
  <c r="K37" i="4" s="1"/>
  <c r="I38" i="4"/>
  <c r="J38" i="4" s="1"/>
  <c r="K38" i="4" s="1"/>
  <c r="I39" i="4"/>
  <c r="J39" i="4" s="1"/>
  <c r="K39" i="4" s="1"/>
  <c r="I40" i="4"/>
  <c r="J40" i="4" s="1"/>
  <c r="K40" i="4" s="1"/>
  <c r="I41" i="4"/>
  <c r="J41" i="4" s="1"/>
  <c r="K41" i="4" s="1"/>
  <c r="I42" i="4"/>
  <c r="J42" i="4" s="1"/>
  <c r="K42" i="4" s="1"/>
  <c r="I43" i="4"/>
  <c r="J43" i="4" s="1"/>
  <c r="K43" i="4" s="1"/>
  <c r="I44" i="4"/>
  <c r="J44" i="4" s="1"/>
  <c r="K44" i="4" s="1"/>
  <c r="I45" i="4"/>
  <c r="J45" i="4" s="1"/>
  <c r="K45" i="4" s="1"/>
  <c r="I35" i="4"/>
  <c r="J35" i="4" s="1"/>
  <c r="K35" i="4" s="1"/>
  <c r="C36" i="4"/>
  <c r="D36" i="4" s="1"/>
  <c r="E36" i="4" s="1"/>
  <c r="C37" i="4"/>
  <c r="D37" i="4" s="1"/>
  <c r="E37" i="4" s="1"/>
  <c r="C38" i="4"/>
  <c r="D38" i="4" s="1"/>
  <c r="E38" i="4" s="1"/>
  <c r="C39" i="4"/>
  <c r="D39" i="4" s="1"/>
  <c r="E39" i="4" s="1"/>
  <c r="C40" i="4"/>
  <c r="D40" i="4" s="1"/>
  <c r="E40" i="4" s="1"/>
  <c r="C41" i="4"/>
  <c r="D41" i="4" s="1"/>
  <c r="E41" i="4" s="1"/>
  <c r="C42" i="4"/>
  <c r="D42" i="4" s="1"/>
  <c r="E42" i="4" s="1"/>
  <c r="C43" i="4"/>
  <c r="D43" i="4" s="1"/>
  <c r="E43" i="4" s="1"/>
  <c r="C44" i="4"/>
  <c r="D44" i="4" s="1"/>
  <c r="E44" i="4" s="1"/>
  <c r="C45" i="4"/>
  <c r="D45" i="4" s="1"/>
  <c r="E45" i="4" s="1"/>
  <c r="C35" i="4"/>
  <c r="D35" i="4" s="1"/>
  <c r="E35" i="4" s="1"/>
  <c r="B69" i="4" l="1"/>
  <c r="P61" i="4"/>
  <c r="Q61" i="4" s="1"/>
  <c r="S61" i="4"/>
  <c r="P60" i="4"/>
  <c r="Q60" i="4" s="1"/>
  <c r="P59" i="4"/>
  <c r="Q59" i="4" s="1"/>
  <c r="P58" i="4"/>
  <c r="Q58" i="4" s="1"/>
  <c r="P57" i="4"/>
  <c r="Q57" i="4" s="1"/>
  <c r="P56" i="4"/>
  <c r="Q56" i="4" s="1"/>
  <c r="P55" i="4"/>
  <c r="Q55" i="4" s="1"/>
  <c r="P54" i="4"/>
  <c r="Q54" i="4" s="1"/>
  <c r="P53" i="4"/>
  <c r="Q53" i="4" s="1"/>
  <c r="O52" i="4"/>
  <c r="P52" i="4" s="1"/>
  <c r="Q52" i="4" s="1"/>
  <c r="I52" i="4"/>
  <c r="O51" i="4"/>
  <c r="P51" i="4" s="1"/>
  <c r="Q51" i="4" s="1"/>
  <c r="I51" i="4"/>
  <c r="J51" i="4" s="1"/>
  <c r="K51" i="4" s="1"/>
  <c r="A10" i="4"/>
  <c r="B10" i="4" s="1"/>
  <c r="T45" i="4" l="1"/>
  <c r="S45" i="4"/>
  <c r="T44" i="4"/>
  <c r="S44" i="4"/>
  <c r="T43" i="4"/>
  <c r="S43" i="4"/>
  <c r="T42" i="4"/>
  <c r="S42" i="4"/>
  <c r="T41" i="4"/>
  <c r="S41" i="4"/>
  <c r="T40" i="4"/>
  <c r="S40" i="4"/>
  <c r="T39" i="4"/>
  <c r="S39" i="4"/>
  <c r="S38" i="4"/>
  <c r="T38" i="4"/>
  <c r="T37" i="4"/>
  <c r="S37" i="4"/>
  <c r="T36" i="4"/>
  <c r="S36" i="4"/>
  <c r="B29" i="4"/>
  <c r="T54" i="4"/>
  <c r="S54" i="4"/>
  <c r="T55" i="4"/>
  <c r="V55" i="4" s="1"/>
  <c r="S55" i="4"/>
  <c r="S60" i="4"/>
  <c r="T60" i="4"/>
  <c r="T35" i="4"/>
  <c r="S35" i="4"/>
  <c r="S56" i="4"/>
  <c r="T56" i="4"/>
  <c r="V56" i="4" s="1"/>
  <c r="S53" i="4"/>
  <c r="T58" i="4"/>
  <c r="S58" i="4"/>
  <c r="T59" i="4"/>
  <c r="S59" i="4"/>
  <c r="T51" i="4"/>
  <c r="S51" i="4"/>
  <c r="S52" i="4"/>
  <c r="T52" i="4"/>
  <c r="S57" i="4"/>
  <c r="T53" i="4"/>
  <c r="T57" i="4"/>
  <c r="V57" i="4" s="1"/>
  <c r="T61" i="4"/>
  <c r="V61" i="4" s="1"/>
  <c r="V59" i="4" l="1"/>
  <c r="V53" i="4"/>
  <c r="V54" i="4"/>
  <c r="V60" i="4"/>
  <c r="V58" i="4"/>
  <c r="B71" i="3"/>
  <c r="S62" i="3"/>
  <c r="S58" i="3"/>
  <c r="S54" i="3"/>
  <c r="S53" i="3"/>
  <c r="O35" i="3"/>
  <c r="P35" i="3" s="1"/>
  <c r="Q35" i="3" s="1"/>
  <c r="A10" i="3"/>
  <c r="B10" i="3" s="1"/>
  <c r="B3" i="3"/>
  <c r="S60" i="3" l="1"/>
  <c r="S57" i="3"/>
  <c r="S59" i="3"/>
  <c r="S61" i="3"/>
  <c r="S55" i="3"/>
  <c r="S56" i="3"/>
  <c r="T39" i="3"/>
  <c r="S39" i="3"/>
  <c r="S43" i="3"/>
  <c r="T43" i="3"/>
  <c r="V43" i="3" s="1"/>
  <c r="T44" i="3"/>
  <c r="S44" i="3"/>
  <c r="T42" i="3"/>
  <c r="S42" i="3"/>
  <c r="S41" i="3"/>
  <c r="T41" i="3"/>
  <c r="T38" i="3"/>
  <c r="S38" i="3"/>
  <c r="S37" i="3"/>
  <c r="T37" i="3"/>
  <c r="V37" i="3" s="1"/>
  <c r="T40" i="3"/>
  <c r="S40" i="3"/>
  <c r="S45" i="3"/>
  <c r="T45" i="3"/>
  <c r="V45" i="3" s="1"/>
  <c r="S36" i="3"/>
  <c r="T36" i="3"/>
  <c r="V36" i="3" s="1"/>
  <c r="T59" i="3"/>
  <c r="T57" i="3"/>
  <c r="T55" i="3"/>
  <c r="T56" i="3"/>
  <c r="T61" i="3"/>
  <c r="T35" i="3"/>
  <c r="S35" i="3"/>
  <c r="T60" i="3"/>
  <c r="T52" i="3"/>
  <c r="S52" i="3"/>
  <c r="T53" i="3"/>
  <c r="T62" i="3"/>
  <c r="T54" i="3"/>
  <c r="T58" i="3"/>
  <c r="K41" i="2"/>
  <c r="E41" i="2"/>
  <c r="B69" i="2"/>
  <c r="K45" i="2"/>
  <c r="E45" i="2"/>
  <c r="K44" i="2"/>
  <c r="E44" i="2"/>
  <c r="K43" i="2"/>
  <c r="E43" i="2"/>
  <c r="Q52" i="2"/>
  <c r="Q36" i="2"/>
  <c r="K36" i="2"/>
  <c r="V41" i="3" l="1"/>
  <c r="V39" i="3"/>
  <c r="V40" i="3"/>
  <c r="V42" i="3"/>
  <c r="V44" i="3"/>
  <c r="V38" i="3"/>
  <c r="T57" i="2"/>
  <c r="S45" i="2"/>
  <c r="S44" i="2"/>
  <c r="S43" i="2"/>
  <c r="S41" i="2"/>
  <c r="S57" i="2"/>
  <c r="S36" i="2"/>
  <c r="S61" i="2"/>
  <c r="T61" i="2"/>
  <c r="T45" i="2"/>
  <c r="E37" i="2" l="1"/>
  <c r="E38" i="2"/>
  <c r="E39" i="2"/>
  <c r="E40" i="2"/>
  <c r="E42" i="2"/>
  <c r="K37" i="2"/>
  <c r="K38" i="2"/>
  <c r="K39" i="2"/>
  <c r="K40" i="2"/>
  <c r="K42" i="2"/>
  <c r="A10" i="2"/>
  <c r="B10" i="2" s="1"/>
  <c r="B3" i="2"/>
  <c r="O35" i="2"/>
  <c r="P35" i="2" s="1"/>
  <c r="Q35" i="2" s="1"/>
  <c r="I51" i="2"/>
  <c r="J51" i="2" s="1"/>
  <c r="K51" i="2" s="1"/>
  <c r="O51" i="2"/>
  <c r="P51" i="2" s="1"/>
  <c r="Q51" i="2" s="1"/>
  <c r="S37" i="2" l="1"/>
  <c r="S42" i="2"/>
  <c r="S40" i="2"/>
  <c r="S39" i="2"/>
  <c r="S38" i="2"/>
  <c r="T43" i="2"/>
  <c r="S51" i="2"/>
  <c r="T51" i="2"/>
  <c r="T37" i="2"/>
  <c r="T39" i="2"/>
  <c r="T42" i="2"/>
  <c r="T40" i="2"/>
  <c r="T38" i="2"/>
  <c r="T44" i="2"/>
  <c r="T56" i="2"/>
  <c r="T35" i="2"/>
  <c r="S55" i="2"/>
  <c r="T55" i="2"/>
  <c r="S59" i="2"/>
  <c r="T59" i="2"/>
  <c r="S58" i="2"/>
  <c r="T58" i="2"/>
  <c r="S60" i="2"/>
  <c r="T60" i="2"/>
  <c r="S53" i="2"/>
  <c r="T53" i="2"/>
  <c r="S52" i="2"/>
  <c r="T52" i="2"/>
  <c r="T54" i="2"/>
  <c r="S54" i="2"/>
  <c r="S35" i="2"/>
  <c r="T36" i="2"/>
  <c r="S56" i="2" l="1"/>
</calcChain>
</file>

<file path=xl/sharedStrings.xml><?xml version="1.0" encoding="utf-8"?>
<sst xmlns="http://schemas.openxmlformats.org/spreadsheetml/2006/main" count="341" uniqueCount="83">
  <si>
    <t>SD</t>
  </si>
  <si>
    <t>AVE.</t>
  </si>
  <si>
    <t>%</t>
  </si>
  <si>
    <t>MASS</t>
  </si>
  <si>
    <t>CON</t>
  </si>
  <si>
    <t>PA</t>
  </si>
  <si>
    <t>TIME</t>
  </si>
  <si>
    <t>DT6</t>
  </si>
  <si>
    <t>DT5</t>
  </si>
  <si>
    <t>DT4</t>
  </si>
  <si>
    <t>ITZ-C8</t>
  </si>
  <si>
    <t>DT3</t>
  </si>
  <si>
    <t>DT2</t>
  </si>
  <si>
    <t>DT1</t>
  </si>
  <si>
    <t>ITZ</t>
  </si>
  <si>
    <t>LOD</t>
  </si>
  <si>
    <t>Area</t>
  </si>
  <si>
    <t>Conc.</t>
  </si>
  <si>
    <t>Cal</t>
  </si>
  <si>
    <t>180min</t>
  </si>
  <si>
    <t>T-TEST</t>
  </si>
  <si>
    <t>conc.</t>
  </si>
  <si>
    <t>sample</t>
  </si>
  <si>
    <t>medium</t>
  </si>
  <si>
    <t>speed</t>
  </si>
  <si>
    <t>temp</t>
  </si>
  <si>
    <t>Column1</t>
  </si>
  <si>
    <t>Column2</t>
  </si>
  <si>
    <t>75 rpm</t>
  </si>
  <si>
    <t>37 degrees</t>
  </si>
  <si>
    <t>method</t>
  </si>
  <si>
    <t>in 0.1% SDS</t>
  </si>
  <si>
    <t>5mL 10D3-5TPGS-1CHOL</t>
  </si>
  <si>
    <t>895mL 0.1%SDS</t>
  </si>
  <si>
    <t>0.2 filter&amp;centrifuge</t>
  </si>
  <si>
    <t>D3 solubility</t>
  </si>
  <si>
    <t>D3 nano (0.2 filter)</t>
  </si>
  <si>
    <t>D3 nano (centrifuge)</t>
  </si>
  <si>
    <t>895mL 0.1N HCl</t>
  </si>
  <si>
    <t xml:space="preserve"> 0.45 um filter &amp; raw D3</t>
  </si>
  <si>
    <t>D3 nano (0.45 filter)</t>
  </si>
  <si>
    <t>D3 (raw)</t>
  </si>
  <si>
    <t>2.5mL 5ITZ-5TPGS-1CHOL</t>
  </si>
  <si>
    <t>447.5 mL 0.1% SDS</t>
  </si>
  <si>
    <t>dialysis</t>
  </si>
  <si>
    <t>D3 nano (dialysis)</t>
  </si>
  <si>
    <t>Centrifuge</t>
  </si>
  <si>
    <t>Dialysis</t>
  </si>
  <si>
    <t>15min</t>
  </si>
  <si>
    <t>90min</t>
  </si>
  <si>
    <t>45min</t>
  </si>
  <si>
    <t>360min</t>
  </si>
  <si>
    <t>Time</t>
  </si>
  <si>
    <t>F</t>
  </si>
  <si>
    <t>F'</t>
  </si>
  <si>
    <t>k</t>
  </si>
  <si>
    <t>n</t>
  </si>
  <si>
    <t>R2</t>
  </si>
  <si>
    <t>Square of Dif</t>
  </si>
  <si>
    <t>SS</t>
  </si>
  <si>
    <t>Column 1</t>
  </si>
  <si>
    <t>Column 2</t>
  </si>
  <si>
    <t xml:space="preserve">Korsemeyer- peppas model </t>
  </si>
  <si>
    <t xml:space="preserve">Hopfenberg model </t>
  </si>
  <si>
    <r>
      <t>M</t>
    </r>
    <r>
      <rPr>
        <sz val="6"/>
        <color theme="1"/>
        <rFont val="Cambria Math"/>
        <family val="1"/>
      </rPr>
      <t xml:space="preserve">t </t>
    </r>
    <r>
      <rPr>
        <sz val="10"/>
        <color theme="1"/>
        <rFont val="Cambria Math"/>
        <family val="1"/>
      </rPr>
      <t>= a𝑡</t>
    </r>
    <r>
      <rPr>
        <sz val="7"/>
        <color theme="1"/>
        <rFont val="Cambria Math"/>
        <family val="1"/>
      </rPr>
      <t xml:space="preserve">n </t>
    </r>
    <r>
      <rPr>
        <sz val="10"/>
        <color theme="1"/>
        <rFont val="Times New Roman"/>
        <family val="1"/>
      </rPr>
      <t xml:space="preserve">-----------------------------------------------(26) </t>
    </r>
    <r>
      <rPr>
        <sz val="7"/>
        <color theme="1"/>
        <rFont val="Cambria Math"/>
        <family val="1"/>
      </rPr>
      <t>M</t>
    </r>
    <r>
      <rPr>
        <sz val="6"/>
        <color theme="1"/>
        <rFont val="Times New Roman,Italic"/>
      </rPr>
      <t xml:space="preserve">∞ </t>
    </r>
  </si>
  <si>
    <r>
      <t xml:space="preserve">M </t>
    </r>
    <r>
      <rPr>
        <sz val="6"/>
        <color theme="1"/>
        <rFont val="Cambria Math"/>
        <family val="1"/>
      </rPr>
      <t xml:space="preserve">t </t>
    </r>
    <r>
      <rPr>
        <sz val="7"/>
        <color theme="1"/>
        <rFont val="Cambria Math"/>
        <family val="1"/>
      </rPr>
      <t>M</t>
    </r>
    <r>
      <rPr>
        <sz val="6"/>
        <color theme="1"/>
        <rFont val="Times New Roman,Italic"/>
      </rPr>
      <t xml:space="preserve">∞ </t>
    </r>
  </si>
  <si>
    <r>
      <t xml:space="preserve"> 1 - [1 − k</t>
    </r>
    <r>
      <rPr>
        <sz val="7"/>
        <color theme="1"/>
        <rFont val="Cambria Math"/>
        <family val="1"/>
      </rPr>
      <t xml:space="preserve">1 </t>
    </r>
    <r>
      <rPr>
        <sz val="10"/>
        <color theme="1"/>
        <rFont val="Cambria Math"/>
        <family val="1"/>
      </rPr>
      <t>t (t − l) ]^</t>
    </r>
    <r>
      <rPr>
        <sz val="7"/>
        <color theme="1"/>
        <rFont val="Cambria Math"/>
        <family val="1"/>
      </rPr>
      <t xml:space="preserve">n </t>
    </r>
  </si>
  <si>
    <t xml:space="preserve">Baker-Lonsdale model </t>
  </si>
  <si>
    <r>
      <t>f</t>
    </r>
    <r>
      <rPr>
        <sz val="7"/>
        <color theme="1"/>
        <rFont val="Cambria Math"/>
        <family val="1"/>
      </rPr>
      <t xml:space="preserve">1 </t>
    </r>
    <r>
      <rPr>
        <sz val="10"/>
        <color theme="1"/>
        <rFont val="Cambria Math"/>
        <family val="1"/>
      </rPr>
      <t>=</t>
    </r>
    <r>
      <rPr>
        <sz val="7"/>
        <color theme="1"/>
        <rFont val="Cambria Math"/>
        <family val="1"/>
      </rPr>
      <t xml:space="preserve">3 </t>
    </r>
    <r>
      <rPr>
        <sz val="10"/>
        <color theme="1"/>
        <rFont val="Cambria Math"/>
        <family val="1"/>
      </rPr>
      <t>1− 1−</t>
    </r>
    <r>
      <rPr>
        <sz val="7"/>
        <color theme="1"/>
        <rFont val="Cambria Math"/>
        <family val="1"/>
      </rPr>
      <t>M</t>
    </r>
    <r>
      <rPr>
        <sz val="6"/>
        <color theme="1"/>
        <rFont val="Cambria Math"/>
        <family val="1"/>
      </rPr>
      <t xml:space="preserve">t 3 </t>
    </r>
    <r>
      <rPr>
        <sz val="10"/>
        <color theme="1"/>
        <rFont val="Cambria Math"/>
        <family val="1"/>
      </rPr>
      <t xml:space="preserve">− </t>
    </r>
    <r>
      <rPr>
        <sz val="7"/>
        <color theme="1"/>
        <rFont val="Cambria Math"/>
        <family val="1"/>
      </rPr>
      <t>M</t>
    </r>
    <r>
      <rPr>
        <sz val="6"/>
        <color theme="1"/>
        <rFont val="Cambria Math"/>
        <family val="1"/>
      </rPr>
      <t xml:space="preserve">t </t>
    </r>
    <r>
      <rPr>
        <sz val="10"/>
        <color theme="1"/>
        <rFont val="Cambria Math"/>
        <family val="1"/>
      </rPr>
      <t xml:space="preserve">=kt </t>
    </r>
  </si>
  <si>
    <t>f1</t>
  </si>
  <si>
    <t>f1'</t>
  </si>
  <si>
    <t>RSD</t>
  </si>
  <si>
    <r>
      <t>Hixson</t>
    </r>
    <r>
      <rPr>
        <sz val="10"/>
        <color theme="1"/>
        <rFont val="Times"/>
        <family val="1"/>
      </rPr>
      <t>–</t>
    </r>
    <r>
      <rPr>
        <i/>
        <sz val="10"/>
        <color theme="1"/>
        <rFont val="Times"/>
        <family val="1"/>
      </rPr>
      <t>Crowell model</t>
    </r>
  </si>
  <si>
    <t>W01/3-Wt1/3= K t</t>
  </si>
  <si>
    <t>size</t>
  </si>
  <si>
    <t>1h</t>
  </si>
  <si>
    <t>3h</t>
  </si>
  <si>
    <t>PDI</t>
  </si>
  <si>
    <t>intensity</t>
  </si>
  <si>
    <r>
      <t xml:space="preserve"> 1 - [1 − k</t>
    </r>
    <r>
      <rPr>
        <sz val="7"/>
        <color theme="1"/>
        <rFont val="Cambria Math"/>
        <family val="1"/>
      </rPr>
      <t xml:space="preserve">1 </t>
    </r>
    <r>
      <rPr>
        <sz val="10"/>
        <color theme="1"/>
        <rFont val="Cambria Math"/>
        <family val="1"/>
      </rPr>
      <t>t ]^</t>
    </r>
    <r>
      <rPr>
        <sz val="7"/>
        <color theme="1"/>
        <rFont val="Cambria Math"/>
        <family val="1"/>
      </rPr>
      <t xml:space="preserve">n </t>
    </r>
  </si>
  <si>
    <t>Peppas-Sahlin</t>
  </si>
  <si>
    <t>k1</t>
  </si>
  <si>
    <t>k2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</si>
</sst>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5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  <scheme val="minor"/>
    </font>
    <font>
      <sz val="10"/>
      <color theme="1"/>
      <name val="Times New Roman,BoldItalic"/>
    </font>
    <font>
      <b/>
      <sz val="16"/>
      <color theme="1"/>
      <name val="Calibri"/>
      <family val="2"/>
      <scheme val="minor"/>
    </font>
    <font>
      <sz val="7"/>
      <color theme="1"/>
      <name val="Cambria Math"/>
      <family val="1"/>
    </font>
    <font>
      <sz val="6"/>
      <color theme="1"/>
      <name val="Cambria Math"/>
      <family val="1"/>
    </font>
    <font>
      <sz val="10"/>
      <color theme="1"/>
      <name val="Cambria Math"/>
      <family val="1"/>
    </font>
    <font>
      <sz val="10"/>
      <color theme="1"/>
      <name val="Times New Roman"/>
      <family val="1"/>
    </font>
    <font>
      <sz val="6"/>
      <color theme="1"/>
      <name val="Times New Roman,Italic"/>
    </font>
    <font>
      <i/>
      <sz val="12"/>
      <color theme="1"/>
      <name val="Calibri"/>
      <family val="2"/>
      <scheme val="minor"/>
    </font>
    <font>
      <i/>
      <sz val="10"/>
      <color theme="1"/>
      <name val="Times"/>
      <family val="1"/>
    </font>
    <font>
      <sz val="10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2" fontId="1" fillId="0" borderId="0" xfId="1" applyNumberFormat="1" applyBorder="1" applyAlignment="1">
      <alignment horizontal="center"/>
    </xf>
    <xf numFmtId="0" fontId="1" fillId="0" borderId="0" xfId="1" applyAlignment="1">
      <alignment horizontal="center"/>
    </xf>
    <xf numFmtId="2" fontId="1" fillId="0" borderId="1" xfId="1" applyNumberFormat="1" applyBorder="1" applyAlignment="1">
      <alignment horizontal="center"/>
    </xf>
    <xf numFmtId="2" fontId="1" fillId="0" borderId="2" xfId="1" applyNumberFormat="1" applyBorder="1" applyAlignment="1">
      <alignment horizontal="center"/>
    </xf>
    <xf numFmtId="164" fontId="1" fillId="0" borderId="0" xfId="1" applyNumberFormat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2" xfId="1" applyBorder="1" applyAlignment="1">
      <alignment horizontal="center"/>
    </xf>
    <xf numFmtId="165" fontId="1" fillId="0" borderId="0" xfId="1" applyNumberFormat="1" applyFill="1" applyBorder="1" applyAlignment="1">
      <alignment horizontal="center"/>
    </xf>
    <xf numFmtId="0" fontId="1" fillId="0" borderId="2" xfId="1" applyFill="1" applyBorder="1" applyAlignment="1">
      <alignment horizontal="center"/>
    </xf>
    <xf numFmtId="165" fontId="1" fillId="0" borderId="0" xfId="1" applyNumberFormat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3" xfId="1" applyFill="1" applyBorder="1" applyAlignment="1">
      <alignment horizontal="center"/>
    </xf>
    <xf numFmtId="0" fontId="1" fillId="0" borderId="4" xfId="1" applyFill="1" applyBorder="1" applyAlignment="1">
      <alignment horizontal="center"/>
    </xf>
    <xf numFmtId="2" fontId="1" fillId="0" borderId="0" xfId="1" applyNumberFormat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5" xfId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1" applyFill="1" applyBorder="1" applyAlignment="1">
      <alignment horizontal="center"/>
    </xf>
    <xf numFmtId="164" fontId="1" fillId="0" borderId="0" xfId="1" applyNumberFormat="1" applyFill="1" applyBorder="1" applyAlignment="1">
      <alignment horizontal="center"/>
    </xf>
    <xf numFmtId="2" fontId="1" fillId="0" borderId="1" xfId="1" applyNumberFormat="1" applyFill="1" applyBorder="1" applyAlignment="1">
      <alignment horizontal="center"/>
    </xf>
    <xf numFmtId="2" fontId="1" fillId="0" borderId="2" xfId="1" applyNumberFormat="1" applyFill="1" applyBorder="1" applyAlignment="1">
      <alignment horizontal="center"/>
    </xf>
    <xf numFmtId="2" fontId="0" fillId="0" borderId="0" xfId="0" applyNumberForma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0" fillId="0" borderId="0" xfId="0" applyFill="1" applyBorder="1" applyAlignment="1"/>
    <xf numFmtId="0" fontId="0" fillId="0" borderId="6" xfId="0" applyFill="1" applyBorder="1" applyAlignment="1"/>
    <xf numFmtId="0" fontId="12" fillId="0" borderId="7" xfId="0" applyFont="1" applyFill="1" applyBorder="1" applyAlignment="1">
      <alignment horizontal="center"/>
    </xf>
    <xf numFmtId="0" fontId="0" fillId="2" borderId="0" xfId="0" applyFill="1"/>
    <xf numFmtId="0" fontId="13" fillId="0" borderId="0" xfId="0" applyFont="1"/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</cellXfs>
  <cellStyles count="2">
    <cellStyle name="Normal" xfId="0" builtinId="0"/>
    <cellStyle name="Normal 2" xfId="1" xr:uid="{71595E9D-A32B-8442-819D-4DFA832B17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 Jul 2019'!$A$3:$A$7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</c:numCache>
            </c:numRef>
          </c:xVal>
          <c:yVal>
            <c:numRef>
              <c:f>'10 Jul 2019'!$B$3:$B$7</c:f>
              <c:numCache>
                <c:formatCode>General</c:formatCode>
                <c:ptCount val="5"/>
                <c:pt idx="0">
                  <c:v>134</c:v>
                </c:pt>
                <c:pt idx="1">
                  <c:v>278.60000000000002</c:v>
                </c:pt>
                <c:pt idx="2">
                  <c:v>2664.2</c:v>
                </c:pt>
                <c:pt idx="3">
                  <c:v>13916.8</c:v>
                </c:pt>
                <c:pt idx="4">
                  <c:v>27890.400000000001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25-E342-B4A8-9CBEBCB2B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511359"/>
        <c:axId val="2012502703"/>
      </c:scatterChart>
      <c:valAx>
        <c:axId val="201951135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502703"/>
        <c:crosses val="autoZero"/>
        <c:crossBetween val="midCat"/>
      </c:valAx>
      <c:valAx>
        <c:axId val="201250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5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 (2)'!$A$20:$A$30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 (2)'!$B$20:$B$30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1.6017682603016954</c:v>
                </c:pt>
                <c:pt idx="3">
                  <c:v>1.8687296370186441</c:v>
                </c:pt>
                <c:pt idx="4">
                  <c:v>1.6362148895554949</c:v>
                </c:pt>
                <c:pt idx="5">
                  <c:v>1.7912247211975945</c:v>
                </c:pt>
                <c:pt idx="6">
                  <c:v>1.6448265468689449</c:v>
                </c:pt>
                <c:pt idx="7">
                  <c:v>1.7223314626899946</c:v>
                </c:pt>
                <c:pt idx="8">
                  <c:v>1.5500983164209954</c:v>
                </c:pt>
                <c:pt idx="9">
                  <c:v>1.6792731761227448</c:v>
                </c:pt>
                <c:pt idx="10">
                  <c:v>1.670661518809295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C1-F947-8550-6A792F92BA9C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'Model fit (2)'!$A$20:$A$30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 (2)'!$C$20:$C$30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C1-F947-8550-6A792F92B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275296"/>
        <c:axId val="866099840"/>
      </c:scatterChart>
      <c:valAx>
        <c:axId val="846275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6099840"/>
        <c:crosses val="autoZero"/>
        <c:crossBetween val="midCat"/>
      </c:valAx>
      <c:valAx>
        <c:axId val="86609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275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 (2)'!$A$36:$A$44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</c:numCache>
            </c:numRef>
          </c:xVal>
          <c:yVal>
            <c:numRef>
              <c:f>'Model fit (2)'!$B$36:$B$44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4.3068315528853318E-5</c:v>
                </c:pt>
                <c:pt idx="3">
                  <c:v>5.8691242538724819E-5</c:v>
                </c:pt>
                <c:pt idx="4">
                  <c:v>4.4947596781176602E-5</c:v>
                </c:pt>
                <c:pt idx="5">
                  <c:v>5.3904981253169448E-5</c:v>
                </c:pt>
                <c:pt idx="6">
                  <c:v>4.5423733857120202E-5</c:v>
                </c:pt>
                <c:pt idx="7">
                  <c:v>4.9822731238401141E-5</c:v>
                </c:pt>
                <c:pt idx="8">
                  <c:v>4.0325162377501111E-5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55-4B46-9BB2-552E0F177B15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'Model fit (2)'!$A$36:$A$44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</c:numCache>
            </c:numRef>
          </c:xVal>
          <c:yVal>
            <c:numRef>
              <c:f>'Model fit (2)'!$C$36:$C$44</c:f>
              <c:numCache>
                <c:formatCode>General</c:formatCode>
                <c:ptCount val="9"/>
                <c:pt idx="0">
                  <c:v>0</c:v>
                </c:pt>
                <c:pt idx="1">
                  <c:v>1.4290228803521387E-3</c:v>
                </c:pt>
                <c:pt idx="2">
                  <c:v>4.2870686410564161E-3</c:v>
                </c:pt>
                <c:pt idx="3">
                  <c:v>8.5741372821128321E-3</c:v>
                </c:pt>
                <c:pt idx="4">
                  <c:v>1.286120592316925E-2</c:v>
                </c:pt>
                <c:pt idx="5">
                  <c:v>1.7148274564225664E-2</c:v>
                </c:pt>
                <c:pt idx="6">
                  <c:v>2.1435343205282082E-2</c:v>
                </c:pt>
                <c:pt idx="7">
                  <c:v>2.57224118463385E-2</c:v>
                </c:pt>
                <c:pt idx="8">
                  <c:v>3.4296549128451329E-2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55-4B46-9BB2-552E0F177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6652256"/>
        <c:axId val="864178816"/>
      </c:scatterChart>
      <c:valAx>
        <c:axId val="926652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178816"/>
        <c:crosses val="autoZero"/>
        <c:crossBetween val="midCat"/>
      </c:valAx>
      <c:valAx>
        <c:axId val="86417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652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'11 Jul 2019'!$A$3:$A$7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</c:numCache>
            </c:numRef>
          </c:xVal>
          <c:yVal>
            <c:numRef>
              <c:f>'11 Jul 2019'!$B$3:$B$7</c:f>
              <c:numCache>
                <c:formatCode>General</c:formatCode>
                <c:ptCount val="5"/>
                <c:pt idx="0">
                  <c:v>66.033333333333331</c:v>
                </c:pt>
                <c:pt idx="1">
                  <c:v>137.9</c:v>
                </c:pt>
                <c:pt idx="2">
                  <c:v>1325.1</c:v>
                </c:pt>
                <c:pt idx="3">
                  <c:v>6925.3</c:v>
                </c:pt>
                <c:pt idx="4">
                  <c:v>13875.4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1F-524B-84CC-4423D5221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511359"/>
        <c:axId val="2012502703"/>
      </c:scatterChart>
      <c:valAx>
        <c:axId val="201951135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502703"/>
        <c:crosses val="autoZero"/>
        <c:crossBetween val="midCat"/>
      </c:valAx>
      <c:valAx>
        <c:axId val="201250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5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'23 Jul 2019'!$A$3:$A$7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</c:numCache>
            </c:numRef>
          </c:xVal>
          <c:yVal>
            <c:numRef>
              <c:f>'23 Jul 2019'!$B$3:$B$7</c:f>
              <c:numCache>
                <c:formatCode>General</c:formatCode>
                <c:ptCount val="5"/>
                <c:pt idx="0">
                  <c:v>137.4</c:v>
                </c:pt>
                <c:pt idx="1">
                  <c:v>279.2</c:v>
                </c:pt>
                <c:pt idx="2">
                  <c:v>2663.6</c:v>
                </c:pt>
                <c:pt idx="3">
                  <c:v>13887.8</c:v>
                </c:pt>
                <c:pt idx="4">
                  <c:v>27729.599999999999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20-5340-A043-1D3CBD92B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511359"/>
        <c:axId val="2012502703"/>
      </c:scatterChart>
      <c:valAx>
        <c:axId val="201951135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502703"/>
        <c:crosses val="autoZero"/>
        <c:crossBetween val="midCat"/>
      </c:valAx>
      <c:valAx>
        <c:axId val="201250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5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'23 Jul 2019'!$J$76:$J$80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</c:numCache>
            </c:numRef>
          </c:xVal>
          <c:yVal>
            <c:numRef>
              <c:f>'23 Jul 2019'!$K$76:$K$80</c:f>
              <c:numCache>
                <c:formatCode>General</c:formatCode>
                <c:ptCount val="5"/>
                <c:pt idx="0">
                  <c:v>74.033333333333346</c:v>
                </c:pt>
                <c:pt idx="1">
                  <c:v>146.6</c:v>
                </c:pt>
                <c:pt idx="2">
                  <c:v>1521.2</c:v>
                </c:pt>
                <c:pt idx="3">
                  <c:v>7456.4</c:v>
                </c:pt>
                <c:pt idx="4">
                  <c:v>14987.2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BC-314F-8968-E35BB6B53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855136"/>
        <c:axId val="113856768"/>
      </c:scatterChart>
      <c:valAx>
        <c:axId val="113855136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856768"/>
        <c:crosses val="autoZero"/>
        <c:crossBetween val="midCat"/>
      </c:valAx>
      <c:valAx>
        <c:axId val="113856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855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fit'!$A$3:$A$13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fit'!$B$3:$B$13</c:f>
              <c:numCache>
                <c:formatCode>0.00</c:formatCode>
                <c:ptCount val="11"/>
                <c:pt idx="0">
                  <c:v>0</c:v>
                </c:pt>
                <c:pt idx="1">
                  <c:v>2.4536514473442219</c:v>
                </c:pt>
                <c:pt idx="2">
                  <c:v>2.8517747862431073</c:v>
                </c:pt>
                <c:pt idx="3">
                  <c:v>3.7086054503950585</c:v>
                </c:pt>
                <c:pt idx="4">
                  <c:v>4.7385332184160891</c:v>
                </c:pt>
                <c:pt idx="5">
                  <c:v>5.162621122895338</c:v>
                </c:pt>
                <c:pt idx="6">
                  <c:v>5.7165318552763962</c:v>
                </c:pt>
                <c:pt idx="7">
                  <c:v>6.0281066422407434</c:v>
                </c:pt>
                <c:pt idx="8">
                  <c:v>6.9152292995697833</c:v>
                </c:pt>
                <c:pt idx="9">
                  <c:v>7.3479720592424842</c:v>
                </c:pt>
                <c:pt idx="10">
                  <c:v>7.914865074413723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3D-EB4A-B497-6F5406E623EA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'Model fit'!$A$3:$A$13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fit'!$C$3:$C$13</c:f>
              <c:numCache>
                <c:formatCode>General</c:formatCode>
                <c:ptCount val="11"/>
                <c:pt idx="0">
                  <c:v>0</c:v>
                </c:pt>
                <c:pt idx="1">
                  <c:v>2.4855978764532312</c:v>
                </c:pt>
                <c:pt idx="2">
                  <c:v>3.4187624336497318</c:v>
                </c:pt>
                <c:pt idx="3">
                  <c:v>4.1803592964187386</c:v>
                </c:pt>
                <c:pt idx="4">
                  <c:v>4.7022636639891555</c:v>
                </c:pt>
                <c:pt idx="5">
                  <c:v>5.111616904161</c:v>
                </c:pt>
                <c:pt idx="6">
                  <c:v>5.453521208841277</c:v>
                </c:pt>
                <c:pt idx="7">
                  <c:v>5.7497857787632034</c:v>
                </c:pt>
                <c:pt idx="8">
                  <c:v>6.250330539121018</c:v>
                </c:pt>
                <c:pt idx="9">
                  <c:v>7.0306641362643534</c:v>
                </c:pt>
                <c:pt idx="10">
                  <c:v>8.5968834490363193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3D-EB4A-B497-6F5406E62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5273504"/>
        <c:axId val="715291872"/>
      </c:scatterChart>
      <c:valAx>
        <c:axId val="715273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291872"/>
        <c:crosses val="autoZero"/>
        <c:crossBetween val="midCat"/>
      </c:valAx>
      <c:valAx>
        <c:axId val="71529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273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fit'!$A$20:$A$30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fit'!$B$20:$B$30</c:f>
              <c:numCache>
                <c:formatCode>0.00</c:formatCode>
                <c:ptCount val="11"/>
                <c:pt idx="0">
                  <c:v>0</c:v>
                </c:pt>
                <c:pt idx="1">
                  <c:v>2.4536514473442219</c:v>
                </c:pt>
                <c:pt idx="2">
                  <c:v>2.8517747862431073</c:v>
                </c:pt>
                <c:pt idx="3">
                  <c:v>3.7086054503950585</c:v>
                </c:pt>
                <c:pt idx="4">
                  <c:v>4.7385332184160891</c:v>
                </c:pt>
                <c:pt idx="5">
                  <c:v>5.162621122895338</c:v>
                </c:pt>
                <c:pt idx="6">
                  <c:v>5.7165318552763962</c:v>
                </c:pt>
                <c:pt idx="7">
                  <c:v>6.0281066422407434</c:v>
                </c:pt>
                <c:pt idx="8">
                  <c:v>6.9152292995697833</c:v>
                </c:pt>
                <c:pt idx="9">
                  <c:v>7.3479720592424842</c:v>
                </c:pt>
                <c:pt idx="10">
                  <c:v>7.914865074413723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94-484B-9FD2-9255BD098D8D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'Model fit'!$A$20:$A$30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fit'!$C$20:$C$30</c:f>
              <c:numCache>
                <c:formatCode>General</c:formatCode>
                <c:ptCount val="11"/>
                <c:pt idx="0">
                  <c:v>0</c:v>
                </c:pt>
                <c:pt idx="1">
                  <c:v>0.11767168751427004</c:v>
                </c:pt>
                <c:pt idx="2">
                  <c:v>0.3245848595418086</c:v>
                </c:pt>
                <c:pt idx="3">
                  <c:v>0.57002391775693195</c:v>
                </c:pt>
                <c:pt idx="4">
                  <c:v>0.74737782846274325</c:v>
                </c:pt>
                <c:pt idx="5">
                  <c:v>0.86770724547661604</c:v>
                </c:pt>
                <c:pt idx="6">
                  <c:v>0.94207282261592407</c:v>
                </c:pt>
                <c:pt idx="7">
                  <c:v>0.98153521369804075</c:v>
                </c:pt>
                <c:pt idx="8">
                  <c:v>0.99999305296019425</c:v>
                </c:pt>
                <c:pt idx="9">
                  <c:v>1.1047392667626412</c:v>
                </c:pt>
                <c:pt idx="10">
                  <c:v>8.3325587892022615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094-484B-9FD2-9255BD098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275296"/>
        <c:axId val="866099840"/>
      </c:scatterChart>
      <c:valAx>
        <c:axId val="846275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6099840"/>
        <c:crosses val="autoZero"/>
        <c:crossBetween val="midCat"/>
      </c:valAx>
      <c:valAx>
        <c:axId val="86609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275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fit'!$A$36:$A$44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</c:numCache>
            </c:numRef>
          </c:xVal>
          <c:yVal>
            <c:numRef>
              <c:f>'Model fit'!$B$36:$B$44</c:f>
              <c:numCache>
                <c:formatCode>General</c:formatCode>
                <c:ptCount val="9"/>
                <c:pt idx="0">
                  <c:v>0</c:v>
                </c:pt>
                <c:pt idx="1">
                  <c:v>1.0145023325210806E-4</c:v>
                </c:pt>
                <c:pt idx="2">
                  <c:v>1.3729074624588972E-4</c:v>
                </c:pt>
                <c:pt idx="3">
                  <c:v>2.3309136937671449E-4</c:v>
                </c:pt>
                <c:pt idx="4">
                  <c:v>3.8233456417993E-4</c:v>
                </c:pt>
                <c:pt idx="5">
                  <c:v>4.5472128204949308E-4</c:v>
                </c:pt>
                <c:pt idx="6">
                  <c:v>5.5896309691178675E-4</c:v>
                </c:pt>
                <c:pt idx="7">
                  <c:v>6.2245494605600582E-4</c:v>
                </c:pt>
                <c:pt idx="8">
                  <c:v>8.2253816131319657E-4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6C-244E-A3FA-EA69FC6973C7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'Model fit'!$A$36:$A$44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</c:numCache>
            </c:numRef>
          </c:xVal>
          <c:yVal>
            <c:numRef>
              <c:f>'Model fit'!$C$36:$C$44</c:f>
              <c:numCache>
                <c:formatCode>General</c:formatCode>
                <c:ptCount val="9"/>
                <c:pt idx="0">
                  <c:v>0</c:v>
                </c:pt>
                <c:pt idx="1">
                  <c:v>3.5916252510453058E-5</c:v>
                </c:pt>
                <c:pt idx="2">
                  <c:v>1.0774875753135916E-4</c:v>
                </c:pt>
                <c:pt idx="3">
                  <c:v>2.1549751506271832E-4</c:v>
                </c:pt>
                <c:pt idx="4">
                  <c:v>3.2324627259407748E-4</c:v>
                </c:pt>
                <c:pt idx="5">
                  <c:v>4.3099503012543664E-4</c:v>
                </c:pt>
                <c:pt idx="6">
                  <c:v>5.3874378765679585E-4</c:v>
                </c:pt>
                <c:pt idx="7">
                  <c:v>6.4649254518815496E-4</c:v>
                </c:pt>
                <c:pt idx="8">
                  <c:v>8.6199006025087328E-4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6C-244E-A3FA-EA69FC697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6652256"/>
        <c:axId val="864178816"/>
      </c:scatterChart>
      <c:valAx>
        <c:axId val="926652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178816"/>
        <c:crosses val="autoZero"/>
        <c:crossBetween val="midCat"/>
      </c:valAx>
      <c:valAx>
        <c:axId val="86417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652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fit'!$A$53:$A$63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fit'!$B$53:$B$63</c:f>
              <c:numCache>
                <c:formatCode>0.00</c:formatCode>
                <c:ptCount val="11"/>
                <c:pt idx="0">
                  <c:v>0</c:v>
                </c:pt>
                <c:pt idx="1">
                  <c:v>1.11924376789867E-2</c:v>
                </c:pt>
                <c:pt idx="2">
                  <c:v>1.302613431157762E-2</c:v>
                </c:pt>
                <c:pt idx="3">
                  <c:v>1.698962982192187E-2</c:v>
                </c:pt>
                <c:pt idx="4">
                  <c:v>2.1785072918162562E-2</c:v>
                </c:pt>
                <c:pt idx="5">
                  <c:v>2.3769714311344892E-2</c:v>
                </c:pt>
                <c:pt idx="6">
                  <c:v>2.6370829663091122E-2</c:v>
                </c:pt>
                <c:pt idx="7">
                  <c:v>2.7838436421975032E-2</c:v>
                </c:pt>
                <c:pt idx="8">
                  <c:v>3.2034886898692383E-2</c:v>
                </c:pt>
                <c:pt idx="9">
                  <c:v>3.4091615661739239E-2</c:v>
                </c:pt>
                <c:pt idx="10">
                  <c:v>3.679564310854655E-2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AD-D34C-A612-DE1EFDB67C2D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'Model fit'!$A$53:$A$63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fit'!$C$53:$C$63</c:f>
              <c:numCache>
                <c:formatCode>General</c:formatCode>
                <c:ptCount val="11"/>
                <c:pt idx="0">
                  <c:v>0</c:v>
                </c:pt>
                <c:pt idx="1">
                  <c:v>7.8410194238249945E-4</c:v>
                </c:pt>
                <c:pt idx="2">
                  <c:v>2.3523058271474983E-3</c:v>
                </c:pt>
                <c:pt idx="3">
                  <c:v>4.7046116542949967E-3</c:v>
                </c:pt>
                <c:pt idx="4">
                  <c:v>7.0569174814424946E-3</c:v>
                </c:pt>
                <c:pt idx="5">
                  <c:v>9.4092233085899934E-3</c:v>
                </c:pt>
                <c:pt idx="6">
                  <c:v>1.1761529135737492E-2</c:v>
                </c:pt>
                <c:pt idx="7">
                  <c:v>1.4113834962884989E-2</c:v>
                </c:pt>
                <c:pt idx="8">
                  <c:v>1.8818446617179987E-2</c:v>
                </c:pt>
                <c:pt idx="9">
                  <c:v>2.8227669925769978E-2</c:v>
                </c:pt>
                <c:pt idx="10">
                  <c:v>5.6455339851539957E-2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CAD-D34C-A612-DE1EFDB67C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528463"/>
        <c:axId val="586553407"/>
      </c:scatterChart>
      <c:valAx>
        <c:axId val="586528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553407"/>
        <c:crosses val="autoZero"/>
        <c:crossBetween val="midCat"/>
      </c:valAx>
      <c:valAx>
        <c:axId val="586553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528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 (2)'!$A$3:$A$13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 (2)'!$B$3:$B$13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1.6017682603016954</c:v>
                </c:pt>
                <c:pt idx="3">
                  <c:v>1.8687296370186441</c:v>
                </c:pt>
                <c:pt idx="4">
                  <c:v>1.6362148895554949</c:v>
                </c:pt>
                <c:pt idx="5">
                  <c:v>1.7912247211975945</c:v>
                </c:pt>
                <c:pt idx="6">
                  <c:v>1.6448265468689449</c:v>
                </c:pt>
                <c:pt idx="7">
                  <c:v>1.7223314626899946</c:v>
                </c:pt>
                <c:pt idx="8">
                  <c:v>1.5500983164209954</c:v>
                </c:pt>
                <c:pt idx="9">
                  <c:v>1.6792731761227448</c:v>
                </c:pt>
                <c:pt idx="10">
                  <c:v>1.670661518809295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DB-FD4B-9D64-D898B4ED2C17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'Model fit (2)'!$A$3:$A$13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 (2)'!$C$3:$C$13</c:f>
              <c:numCache>
                <c:formatCode>General</c:formatCode>
                <c:ptCount val="11"/>
                <c:pt idx="0">
                  <c:v>0</c:v>
                </c:pt>
                <c:pt idx="1">
                  <c:v>2.355279916778183</c:v>
                </c:pt>
                <c:pt idx="2">
                  <c:v>2.355279916778183</c:v>
                </c:pt>
                <c:pt idx="3">
                  <c:v>2.355279916778183</c:v>
                </c:pt>
                <c:pt idx="4">
                  <c:v>2.355279916778183</c:v>
                </c:pt>
                <c:pt idx="5">
                  <c:v>2.355279916778183</c:v>
                </c:pt>
                <c:pt idx="6">
                  <c:v>2.355279916778183</c:v>
                </c:pt>
                <c:pt idx="7">
                  <c:v>2.355279916778183</c:v>
                </c:pt>
                <c:pt idx="8">
                  <c:v>2.355279916778183</c:v>
                </c:pt>
                <c:pt idx="9">
                  <c:v>2.355279916778183</c:v>
                </c:pt>
                <c:pt idx="10">
                  <c:v>2.355279916778183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DB-FD4B-9D64-D898B4ED2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5273504"/>
        <c:axId val="715291872"/>
      </c:scatterChart>
      <c:valAx>
        <c:axId val="715273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291872"/>
        <c:crosses val="autoZero"/>
        <c:crossBetween val="midCat"/>
      </c:valAx>
      <c:valAx>
        <c:axId val="71529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273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0</xdr:row>
      <xdr:rowOff>107950</xdr:rowOff>
    </xdr:from>
    <xdr:to>
      <xdr:col>11</xdr:col>
      <xdr:colOff>749300</xdr:colOff>
      <xdr:row>13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F48B81-D74A-1A45-8AF2-B42045CF20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0</xdr:row>
      <xdr:rowOff>107950</xdr:rowOff>
    </xdr:from>
    <xdr:to>
      <xdr:col>11</xdr:col>
      <xdr:colOff>749300</xdr:colOff>
      <xdr:row>13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EE662D-F222-0B48-BFF6-C2D691407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0</xdr:row>
      <xdr:rowOff>107950</xdr:rowOff>
    </xdr:from>
    <xdr:to>
      <xdr:col>11</xdr:col>
      <xdr:colOff>749300</xdr:colOff>
      <xdr:row>13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C04190-FA0D-1848-90C5-2AB947A7B1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120650</xdr:colOff>
      <xdr:row>72</xdr:row>
      <xdr:rowOff>107950</xdr:rowOff>
    </xdr:from>
    <xdr:to>
      <xdr:col>18</xdr:col>
      <xdr:colOff>565150</xdr:colOff>
      <xdr:row>86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B33C6AF-F005-B344-B89E-9535CEF941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590550</xdr:colOff>
      <xdr:row>1</xdr:row>
      <xdr:rowOff>31750</xdr:rowOff>
    </xdr:from>
    <xdr:to>
      <xdr:col>15</xdr:col>
      <xdr:colOff>209550</xdr:colOff>
      <xdr:row>14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6C9F00-19B2-8E41-AC56-2A1CE212D3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431800</xdr:colOff>
      <xdr:row>16</xdr:row>
      <xdr:rowOff>158750</xdr:rowOff>
    </xdr:from>
    <xdr:to>
      <xdr:col>15</xdr:col>
      <xdr:colOff>50800</xdr:colOff>
      <xdr:row>30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EBCC3AF-0FA3-A748-9B83-3221C9A70C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368300</xdr:colOff>
      <xdr:row>33</xdr:row>
      <xdr:rowOff>133350</xdr:rowOff>
    </xdr:from>
    <xdr:to>
      <xdr:col>14</xdr:col>
      <xdr:colOff>812800</xdr:colOff>
      <xdr:row>47</xdr:row>
      <xdr:rowOff>31750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879350B-C636-D34D-8DE5-8DA6D9710B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438150</xdr:colOff>
      <xdr:row>50</xdr:row>
      <xdr:rowOff>44450</xdr:rowOff>
    </xdr:from>
    <xdr:to>
      <xdr:col>15</xdr:col>
      <xdr:colOff>57150</xdr:colOff>
      <xdr:row>63</xdr:row>
      <xdr:rowOff>82550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C4B7FC7-CE37-184F-AF32-3705FF18F5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590550</xdr:colOff>
      <xdr:row>1</xdr:row>
      <xdr:rowOff>31750</xdr:rowOff>
    </xdr:from>
    <xdr:to>
      <xdr:col>15</xdr:col>
      <xdr:colOff>209550</xdr:colOff>
      <xdr:row>14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952C09-FD80-C941-B0AA-5395A2A619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431800</xdr:colOff>
      <xdr:row>16</xdr:row>
      <xdr:rowOff>158750</xdr:rowOff>
    </xdr:from>
    <xdr:to>
      <xdr:col>15</xdr:col>
      <xdr:colOff>50800</xdr:colOff>
      <xdr:row>30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7400D5-E963-CA41-A615-6E4A2523C0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368300</xdr:colOff>
      <xdr:row>33</xdr:row>
      <xdr:rowOff>133350</xdr:rowOff>
    </xdr:from>
    <xdr:to>
      <xdr:col>14</xdr:col>
      <xdr:colOff>812800</xdr:colOff>
      <xdr:row>47</xdr:row>
      <xdr:rowOff>31750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EE8E18A-ADED-E446-A47A-E50C0C4A0B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3A530E4-F547-F542-A497-C56CAA89B817}" name="Table14" displayName="Table14" ref="A16:B21" totalsRowShown="0">
  <autoFilter ref="A16:B21" xr:uid="{BBC66030-C571-0E4D-B204-EE979B493E66}"/>
  <tableColumns count="2">
    <tableColumn id="1" xr3:uid="{E7460C3B-8C86-7248-848E-1E04B7A6B720}" name="Column1"/>
    <tableColumn id="2" xr3:uid="{856DF754-40D8-A447-8C29-E26D8F148868}" name="Column2"/>
  </tableColumns>
  <tableStyleInfo name="TableStyleMedium2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570E58-A3DB-3D41-935D-7ED4C75E52E8}" name="Table1" displayName="Table1" ref="A16:B21" totalsRowShown="0">
  <autoFilter ref="A16:B21" xr:uid="{BBC66030-C571-0E4D-B204-EE979B493E66}"/>
  <tableColumns count="2">
    <tableColumn id="1" xr3:uid="{B0204510-251A-BA43-89AE-89ED83BC39AD}" name="Column1"/>
    <tableColumn id="2" xr3:uid="{5BCB9A76-5A70-674E-B179-D48C56A6CAB6}" name="Column2"/>
  </tableColumns>
  <tableStyleInfo name="TableStyleMedium2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C51B652-9237-B54D-8D17-86AF202D0BE6}" name="Table13" displayName="Table13" ref="A16:B21" totalsRowShown="0">
  <autoFilter ref="A16:B21" xr:uid="{BBC66030-C571-0E4D-B204-EE979B493E66}"/>
  <tableColumns count="2">
    <tableColumn id="1" xr3:uid="{E05D20EB-2B0C-F044-A2F6-365CF948C724}" name="Column1"/>
    <tableColumn id="2" xr3:uid="{3FAAC615-432B-2E42-81C7-E68EB5C0EFF8}" name="Column2"/>
  </tableColumns>
  <tableStyleInfo name="TableStyleMedium2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12F1F-7938-6940-9BE6-A838ABB40CC4}">
  <dimension ref="A1:V69"/>
  <sheetViews>
    <sheetView topLeftCell="B39" workbookViewId="0">
      <selection activeCell="B31" sqref="B31"/>
    </sheetView>
  </sheetViews>
  <sheetFormatPr baseColWidth="10" defaultRowHeight="16"/>
  <cols>
    <col min="2" max="2" width="21" customWidth="1"/>
    <col min="3" max="3" width="15.83203125" customWidth="1"/>
  </cols>
  <sheetData>
    <row r="1" spans="1:3">
      <c r="A1" t="s">
        <v>18</v>
      </c>
      <c r="C1">
        <v>134</v>
      </c>
    </row>
    <row r="2" spans="1:3">
      <c r="A2" t="s">
        <v>17</v>
      </c>
      <c r="B2" t="s">
        <v>16</v>
      </c>
      <c r="C2">
        <v>138.30000000000001</v>
      </c>
    </row>
    <row r="3" spans="1:3">
      <c r="A3" s="19">
        <v>5.0000000000000001E-4</v>
      </c>
      <c r="B3" s="20">
        <v>134</v>
      </c>
      <c r="C3">
        <v>141</v>
      </c>
    </row>
    <row r="4" spans="1:3">
      <c r="A4" s="19">
        <v>1E-3</v>
      </c>
      <c r="B4">
        <v>278.60000000000002</v>
      </c>
    </row>
    <row r="5" spans="1:3">
      <c r="A5" s="19">
        <v>0.01</v>
      </c>
      <c r="B5" s="21">
        <v>2664.2</v>
      </c>
    </row>
    <row r="6" spans="1:3">
      <c r="A6" s="19">
        <v>0.05</v>
      </c>
      <c r="B6" s="21">
        <v>13916.8</v>
      </c>
    </row>
    <row r="7" spans="1:3">
      <c r="A7" s="19">
        <v>0.1</v>
      </c>
      <c r="B7" s="21">
        <v>27890.400000000001</v>
      </c>
    </row>
    <row r="9" spans="1:3">
      <c r="A9" t="s">
        <v>0</v>
      </c>
      <c r="B9" t="s">
        <v>15</v>
      </c>
    </row>
    <row r="10" spans="1:3">
      <c r="A10">
        <f>STDEV(C1:C3)</f>
        <v>3.5303446479534175</v>
      </c>
      <c r="B10">
        <f>3*A10/26064</f>
        <v>4.0634722006830314E-4</v>
      </c>
    </row>
    <row r="16" spans="1:3">
      <c r="A16" t="s">
        <v>26</v>
      </c>
      <c r="B16" t="s">
        <v>27</v>
      </c>
    </row>
    <row r="17" spans="1:20">
      <c r="A17" t="s">
        <v>22</v>
      </c>
      <c r="B17" t="s">
        <v>32</v>
      </c>
    </row>
    <row r="18" spans="1:20">
      <c r="A18" t="s">
        <v>23</v>
      </c>
      <c r="B18" t="s">
        <v>33</v>
      </c>
    </row>
    <row r="19" spans="1:20">
      <c r="A19" t="s">
        <v>24</v>
      </c>
      <c r="B19" t="s">
        <v>28</v>
      </c>
    </row>
    <row r="20" spans="1:20">
      <c r="A20" t="s">
        <v>25</v>
      </c>
      <c r="B20" t="s">
        <v>29</v>
      </c>
    </row>
    <row r="21" spans="1:20">
      <c r="A21" t="s">
        <v>30</v>
      </c>
      <c r="B21" t="s">
        <v>34</v>
      </c>
    </row>
    <row r="24" spans="1:20">
      <c r="A24" t="s">
        <v>35</v>
      </c>
      <c r="B24" t="s">
        <v>31</v>
      </c>
    </row>
    <row r="25" spans="1:20">
      <c r="A25" t="s">
        <v>16</v>
      </c>
      <c r="B25" t="s">
        <v>21</v>
      </c>
    </row>
    <row r="26" spans="1:20">
      <c r="A26">
        <v>12113.1</v>
      </c>
      <c r="B26">
        <f>A26/138655</f>
        <v>8.7361436659334324E-2</v>
      </c>
    </row>
    <row r="27" spans="1:20">
      <c r="A27">
        <v>13591.5</v>
      </c>
      <c r="B27">
        <f t="shared" ref="B27:B28" si="0">A27/138655</f>
        <v>9.8023872200786122E-2</v>
      </c>
    </row>
    <row r="28" spans="1:20">
      <c r="A28">
        <v>11870</v>
      </c>
      <c r="B28">
        <f t="shared" si="0"/>
        <v>8.5608164148425953E-2</v>
      </c>
    </row>
    <row r="29" spans="1:20">
      <c r="B29">
        <f>AVERAGE(B26:B28)</f>
        <v>9.0331157669515452E-2</v>
      </c>
    </row>
    <row r="30" spans="1:20">
      <c r="B30">
        <f>STDEV(B26:B28)</f>
        <v>6.7195151438994294E-3</v>
      </c>
    </row>
    <row r="31" spans="1:20" ht="17" thickBot="1"/>
    <row r="32" spans="1:20">
      <c r="A32" s="36" t="s">
        <v>36</v>
      </c>
      <c r="B32" s="37"/>
      <c r="C32" s="18">
        <v>2.5</v>
      </c>
      <c r="D32" s="18"/>
      <c r="E32" s="17"/>
      <c r="F32" s="2"/>
      <c r="G32" s="36" t="s">
        <v>36</v>
      </c>
      <c r="H32" s="37"/>
      <c r="I32" s="18">
        <v>2.5</v>
      </c>
      <c r="J32" s="18"/>
      <c r="K32" s="17"/>
      <c r="L32" s="2"/>
      <c r="M32" s="36" t="s">
        <v>36</v>
      </c>
      <c r="N32" s="37"/>
      <c r="O32" s="18">
        <v>2.5</v>
      </c>
      <c r="P32" s="18"/>
      <c r="Q32" s="17"/>
      <c r="R32" s="6"/>
      <c r="S32" s="2"/>
      <c r="T32" s="2"/>
    </row>
    <row r="33" spans="1:20" ht="17" thickBot="1">
      <c r="A33" s="16" t="s">
        <v>13</v>
      </c>
      <c r="B33" s="15"/>
      <c r="C33" s="6"/>
      <c r="D33" s="6"/>
      <c r="E33" s="11"/>
      <c r="F33" s="2"/>
      <c r="G33" s="16" t="s">
        <v>12</v>
      </c>
      <c r="H33" s="15"/>
      <c r="I33" s="6"/>
      <c r="J33" s="6"/>
      <c r="K33" s="11"/>
      <c r="L33" s="2"/>
      <c r="M33" s="16" t="s">
        <v>11</v>
      </c>
      <c r="N33" s="15"/>
      <c r="O33" s="6"/>
      <c r="P33" s="6"/>
      <c r="Q33" s="11"/>
      <c r="R33" s="6"/>
      <c r="S33" s="2"/>
      <c r="T33" s="2"/>
    </row>
    <row r="34" spans="1:20">
      <c r="A34" s="7" t="s">
        <v>6</v>
      </c>
      <c r="B34" s="6" t="s">
        <v>5</v>
      </c>
      <c r="C34" s="6" t="s">
        <v>4</v>
      </c>
      <c r="D34" s="6" t="s">
        <v>3</v>
      </c>
      <c r="E34" s="11" t="s">
        <v>2</v>
      </c>
      <c r="F34" s="2"/>
      <c r="G34" s="7" t="s">
        <v>6</v>
      </c>
      <c r="H34" s="6" t="s">
        <v>5</v>
      </c>
      <c r="I34" s="6" t="s">
        <v>4</v>
      </c>
      <c r="J34" s="6" t="s">
        <v>3</v>
      </c>
      <c r="K34" s="11" t="s">
        <v>2</v>
      </c>
      <c r="L34" s="2"/>
      <c r="M34" s="7" t="s">
        <v>6</v>
      </c>
      <c r="N34" s="6" t="s">
        <v>5</v>
      </c>
      <c r="O34" s="6" t="s">
        <v>4</v>
      </c>
      <c r="P34" s="6" t="s">
        <v>3</v>
      </c>
      <c r="Q34" s="11" t="s">
        <v>2</v>
      </c>
      <c r="R34" s="6"/>
      <c r="S34" s="13" t="s">
        <v>1</v>
      </c>
      <c r="T34" s="12" t="s">
        <v>0</v>
      </c>
    </row>
    <row r="35" spans="1:20">
      <c r="A35" s="7">
        <v>0</v>
      </c>
      <c r="B35" s="10">
        <v>0</v>
      </c>
      <c r="C35" s="5">
        <f>B35/278692</f>
        <v>0</v>
      </c>
      <c r="D35" s="5">
        <f>C35*2*900</f>
        <v>0</v>
      </c>
      <c r="E35" s="3">
        <f>D35/2.5*100</f>
        <v>0</v>
      </c>
      <c r="F35" s="2"/>
      <c r="G35" s="7">
        <v>0</v>
      </c>
      <c r="H35" s="10">
        <v>0</v>
      </c>
      <c r="I35" s="5">
        <f>H35/278692</f>
        <v>0</v>
      </c>
      <c r="J35" s="5">
        <f>I35*2*900</f>
        <v>0</v>
      </c>
      <c r="K35" s="3">
        <f>J35/2.5*100</f>
        <v>0</v>
      </c>
      <c r="L35" s="2"/>
      <c r="M35" s="7">
        <v>0</v>
      </c>
      <c r="N35" s="10">
        <v>0</v>
      </c>
      <c r="O35" s="5">
        <f>N35/278692</f>
        <v>0</v>
      </c>
      <c r="P35" s="5">
        <f>O35*2*900</f>
        <v>0</v>
      </c>
      <c r="Q35" s="3">
        <f>P35/2.5*100</f>
        <v>0</v>
      </c>
      <c r="R35" s="1"/>
      <c r="S35" s="4">
        <f t="shared" ref="S35:S45" si="1">AVERAGE(E35,K35,Q35)</f>
        <v>0</v>
      </c>
      <c r="T35" s="3">
        <f t="shared" ref="T35:T45" si="2">STDEVP(E35,K35,Q35)</f>
        <v>0</v>
      </c>
    </row>
    <row r="36" spans="1:20">
      <c r="A36" s="7">
        <v>5</v>
      </c>
      <c r="B36" s="10">
        <v>360.2</v>
      </c>
      <c r="C36" s="5">
        <f t="shared" ref="C36:C45" si="3">B36/278692</f>
        <v>1.2924662351269502E-3</v>
      </c>
      <c r="D36" s="5">
        <f t="shared" ref="D36:D45" si="4">C36*2*900</f>
        <v>2.3264392232285105</v>
      </c>
      <c r="E36" s="3">
        <f t="shared" ref="E36:E45" si="5">D36/2.5*100</f>
        <v>93.057568929140416</v>
      </c>
      <c r="F36" s="2"/>
      <c r="G36" s="7">
        <v>5</v>
      </c>
      <c r="H36" s="10">
        <v>365.2</v>
      </c>
      <c r="I36" s="5">
        <f t="shared" ref="I36:I45" si="6">H36/278692</f>
        <v>1.3104071878633043E-3</v>
      </c>
      <c r="J36" s="5">
        <f t="shared" ref="J36:J45" si="7">I36*2*900</f>
        <v>2.3587329381539477</v>
      </c>
      <c r="K36" s="3">
        <f t="shared" ref="K36:K45" si="8">J36/2.5*100</f>
        <v>94.349317526157904</v>
      </c>
      <c r="L36" s="2"/>
      <c r="M36" s="7">
        <v>5</v>
      </c>
      <c r="N36" s="10">
        <v>365</v>
      </c>
      <c r="O36" s="5">
        <f t="shared" ref="O36:O45" si="9">N36/278692</f>
        <v>1.30968954975385E-3</v>
      </c>
      <c r="P36" s="5">
        <f t="shared" ref="P36:P45" si="10">O36*2*900</f>
        <v>2.3574411895569303</v>
      </c>
      <c r="Q36" s="3">
        <f t="shared" ref="Q36:Q45" si="11">P36/2.5*100</f>
        <v>94.297647582277207</v>
      </c>
      <c r="R36" s="1"/>
      <c r="S36" s="4">
        <f t="shared" si="1"/>
        <v>93.901511345858509</v>
      </c>
      <c r="T36" s="3">
        <f t="shared" si="2"/>
        <v>0.59713010744568351</v>
      </c>
    </row>
    <row r="37" spans="1:20">
      <c r="A37" s="7">
        <v>15</v>
      </c>
      <c r="B37" s="10">
        <v>364.4</v>
      </c>
      <c r="C37" s="5">
        <f t="shared" si="3"/>
        <v>1.3075366354254876E-3</v>
      </c>
      <c r="D37" s="5">
        <f t="shared" si="4"/>
        <v>2.3535659437658776</v>
      </c>
      <c r="E37" s="3">
        <f t="shared" si="5"/>
        <v>94.142637750635103</v>
      </c>
      <c r="F37" s="2"/>
      <c r="G37" s="7">
        <v>15</v>
      </c>
      <c r="H37" s="6">
        <v>361.8</v>
      </c>
      <c r="I37" s="5">
        <f t="shared" si="6"/>
        <v>1.2982073400025836E-3</v>
      </c>
      <c r="J37" s="5">
        <f t="shared" si="7"/>
        <v>2.3367732120046503</v>
      </c>
      <c r="K37" s="3">
        <f t="shared" si="8"/>
        <v>93.470928480186018</v>
      </c>
      <c r="L37" s="2"/>
      <c r="M37" s="7">
        <v>15</v>
      </c>
      <c r="N37" s="6">
        <v>368.8</v>
      </c>
      <c r="O37" s="5">
        <f t="shared" si="9"/>
        <v>1.3233246738334793E-3</v>
      </c>
      <c r="P37" s="5">
        <f t="shared" si="10"/>
        <v>2.381984412900263</v>
      </c>
      <c r="Q37" s="3">
        <f t="shared" si="11"/>
        <v>95.279376516010515</v>
      </c>
      <c r="R37" s="1"/>
      <c r="S37" s="4">
        <f t="shared" si="1"/>
        <v>94.297647582277207</v>
      </c>
      <c r="T37" s="3">
        <f t="shared" si="2"/>
        <v>0.74638779487102946</v>
      </c>
    </row>
    <row r="38" spans="1:20">
      <c r="A38" s="7">
        <v>30</v>
      </c>
      <c r="B38" s="6">
        <v>360.6</v>
      </c>
      <c r="C38" s="5">
        <f t="shared" si="3"/>
        <v>1.2939015113458585E-3</v>
      </c>
      <c r="D38" s="5">
        <f t="shared" si="4"/>
        <v>2.3290227204225453</v>
      </c>
      <c r="E38" s="3">
        <f t="shared" si="5"/>
        <v>93.160908816901809</v>
      </c>
      <c r="F38" s="2"/>
      <c r="G38" s="7">
        <v>30</v>
      </c>
      <c r="H38" s="6">
        <v>358.1</v>
      </c>
      <c r="I38" s="5">
        <f t="shared" si="6"/>
        <v>1.2849310349776816E-3</v>
      </c>
      <c r="J38" s="5">
        <f t="shared" si="7"/>
        <v>2.3128758629598267</v>
      </c>
      <c r="K38" s="3">
        <f t="shared" si="8"/>
        <v>92.515034518393065</v>
      </c>
      <c r="L38" s="2"/>
      <c r="M38" s="7">
        <v>30</v>
      </c>
      <c r="N38" s="6">
        <v>362.4</v>
      </c>
      <c r="O38" s="5">
        <f t="shared" si="9"/>
        <v>1.3003602543309458E-3</v>
      </c>
      <c r="P38" s="5">
        <f t="shared" si="10"/>
        <v>2.3406484577957025</v>
      </c>
      <c r="Q38" s="3">
        <f t="shared" si="11"/>
        <v>93.625938311828108</v>
      </c>
      <c r="R38" s="1"/>
      <c r="S38" s="4">
        <f t="shared" si="1"/>
        <v>93.100627215707661</v>
      </c>
      <c r="T38" s="3">
        <f t="shared" si="2"/>
        <v>0.45552329845207673</v>
      </c>
    </row>
    <row r="39" spans="1:20">
      <c r="A39" s="7">
        <v>45</v>
      </c>
      <c r="B39" s="6">
        <v>361.6</v>
      </c>
      <c r="C39" s="5">
        <f t="shared" si="3"/>
        <v>1.2974897018931293E-3</v>
      </c>
      <c r="D39" s="5">
        <f t="shared" si="4"/>
        <v>2.3354814634076329</v>
      </c>
      <c r="E39" s="3">
        <f t="shared" si="5"/>
        <v>93.419258536305321</v>
      </c>
      <c r="F39" s="2"/>
      <c r="G39" s="7">
        <v>45</v>
      </c>
      <c r="H39" s="6">
        <v>356.8</v>
      </c>
      <c r="I39" s="5">
        <f t="shared" si="6"/>
        <v>1.2802663872662295E-3</v>
      </c>
      <c r="J39" s="5">
        <f t="shared" si="7"/>
        <v>2.3044794970792131</v>
      </c>
      <c r="K39" s="3">
        <f t="shared" si="8"/>
        <v>92.17917988316853</v>
      </c>
      <c r="L39" s="2"/>
      <c r="M39" s="7">
        <v>45</v>
      </c>
      <c r="N39" s="6">
        <v>364.5</v>
      </c>
      <c r="O39" s="5">
        <f t="shared" si="9"/>
        <v>1.3078954544802146E-3</v>
      </c>
      <c r="P39" s="5">
        <f t="shared" si="10"/>
        <v>2.3542118180643863</v>
      </c>
      <c r="Q39" s="3">
        <f t="shared" si="11"/>
        <v>94.168472722575444</v>
      </c>
      <c r="R39" s="1"/>
      <c r="S39" s="4">
        <f t="shared" si="1"/>
        <v>93.255637047349751</v>
      </c>
      <c r="T39" s="3">
        <f t="shared" si="2"/>
        <v>0.82032533951066466</v>
      </c>
    </row>
    <row r="40" spans="1:20">
      <c r="A40" s="7">
        <v>60</v>
      </c>
      <c r="B40" s="6">
        <v>355.9</v>
      </c>
      <c r="C40" s="5">
        <f t="shared" si="3"/>
        <v>1.2770370157736855E-3</v>
      </c>
      <c r="D40" s="5">
        <f t="shared" si="4"/>
        <v>2.2986666283926338</v>
      </c>
      <c r="E40" s="3">
        <f t="shared" si="5"/>
        <v>91.946665135705359</v>
      </c>
      <c r="F40" s="2"/>
      <c r="G40" s="7">
        <v>60</v>
      </c>
      <c r="H40" s="6">
        <v>353.6</v>
      </c>
      <c r="I40" s="5">
        <f t="shared" si="6"/>
        <v>1.2687841775149628E-3</v>
      </c>
      <c r="J40" s="5">
        <f t="shared" si="7"/>
        <v>2.2838115195269331</v>
      </c>
      <c r="K40" s="3">
        <f t="shared" si="8"/>
        <v>91.352460781077326</v>
      </c>
      <c r="L40" s="2"/>
      <c r="M40" s="7">
        <v>60</v>
      </c>
      <c r="N40" s="6">
        <v>359.2</v>
      </c>
      <c r="O40" s="5">
        <f t="shared" si="9"/>
        <v>1.2888780445796794E-3</v>
      </c>
      <c r="P40" s="5">
        <f t="shared" si="10"/>
        <v>2.319980480243423</v>
      </c>
      <c r="Q40" s="3">
        <f t="shared" si="11"/>
        <v>92.799219209736918</v>
      </c>
      <c r="R40" s="1"/>
      <c r="S40" s="4">
        <f t="shared" si="1"/>
        <v>92.032781708839863</v>
      </c>
      <c r="T40" s="3">
        <f t="shared" si="2"/>
        <v>0.59376737074981167</v>
      </c>
    </row>
    <row r="41" spans="1:20">
      <c r="A41" s="7">
        <v>75</v>
      </c>
      <c r="B41" s="6">
        <v>347.3</v>
      </c>
      <c r="C41" s="5">
        <f t="shared" si="3"/>
        <v>1.2461785770671566E-3</v>
      </c>
      <c r="D41" s="5">
        <f t="shared" si="4"/>
        <v>2.2431214387208818</v>
      </c>
      <c r="E41" s="3">
        <f t="shared" si="5"/>
        <v>89.724857548835274</v>
      </c>
      <c r="F41" s="2"/>
      <c r="G41" s="7">
        <v>75</v>
      </c>
      <c r="H41" s="6">
        <v>353.6</v>
      </c>
      <c r="I41" s="5">
        <f t="shared" si="6"/>
        <v>1.2687841775149628E-3</v>
      </c>
      <c r="J41" s="5">
        <f t="shared" si="7"/>
        <v>2.2838115195269331</v>
      </c>
      <c r="K41" s="3">
        <f t="shared" si="8"/>
        <v>91.352460781077326</v>
      </c>
      <c r="L41" s="2"/>
      <c r="M41" s="7">
        <v>75</v>
      </c>
      <c r="N41" s="10">
        <v>350.1</v>
      </c>
      <c r="O41" s="5">
        <f t="shared" si="9"/>
        <v>1.2562255105995151E-3</v>
      </c>
      <c r="P41" s="5">
        <f t="shared" si="10"/>
        <v>2.2612059190791269</v>
      </c>
      <c r="Q41" s="3">
        <f t="shared" si="11"/>
        <v>90.448236763165085</v>
      </c>
      <c r="R41" s="1"/>
      <c r="S41" s="4">
        <f t="shared" si="1"/>
        <v>90.508518364359233</v>
      </c>
      <c r="T41" s="3">
        <f t="shared" si="2"/>
        <v>0.66583204788349393</v>
      </c>
    </row>
    <row r="42" spans="1:20">
      <c r="A42" s="7">
        <v>90</v>
      </c>
      <c r="B42" s="10">
        <v>355.4</v>
      </c>
      <c r="C42" s="5">
        <f t="shared" si="3"/>
        <v>1.2752429205000501E-3</v>
      </c>
      <c r="D42" s="5">
        <f t="shared" si="4"/>
        <v>2.2954372569000903</v>
      </c>
      <c r="E42" s="3">
        <f t="shared" si="5"/>
        <v>91.81749027600361</v>
      </c>
      <c r="F42" s="2"/>
      <c r="G42" s="9">
        <v>90</v>
      </c>
      <c r="H42" s="8">
        <v>352.7</v>
      </c>
      <c r="I42" s="5">
        <f t="shared" si="6"/>
        <v>1.2655548060224191E-3</v>
      </c>
      <c r="J42" s="5">
        <f t="shared" si="7"/>
        <v>2.2779986508403542</v>
      </c>
      <c r="K42" s="3">
        <f t="shared" si="8"/>
        <v>91.11994603361417</v>
      </c>
      <c r="L42" s="2"/>
      <c r="M42" s="7">
        <v>90</v>
      </c>
      <c r="N42" s="6">
        <v>356.3</v>
      </c>
      <c r="O42" s="5">
        <f t="shared" si="9"/>
        <v>1.2784722919925941E-3</v>
      </c>
      <c r="P42" s="5">
        <f t="shared" si="10"/>
        <v>2.3012501255866695</v>
      </c>
      <c r="Q42" s="3">
        <f t="shared" si="11"/>
        <v>92.050005023466781</v>
      </c>
      <c r="R42" s="1"/>
      <c r="S42" s="4">
        <f t="shared" si="1"/>
        <v>91.66248044436152</v>
      </c>
      <c r="T42" s="3">
        <f t="shared" si="2"/>
        <v>0.39519907817090255</v>
      </c>
    </row>
    <row r="43" spans="1:20">
      <c r="A43" s="7">
        <v>120</v>
      </c>
      <c r="B43" s="10">
        <v>351.3</v>
      </c>
      <c r="C43" s="5">
        <f t="shared" si="3"/>
        <v>1.2605313392562399E-3</v>
      </c>
      <c r="D43" s="5">
        <f t="shared" si="4"/>
        <v>2.2689564106612319</v>
      </c>
      <c r="E43" s="3">
        <f t="shared" si="5"/>
        <v>90.758256426449279</v>
      </c>
      <c r="F43" s="2"/>
      <c r="G43" s="9">
        <v>120</v>
      </c>
      <c r="H43" s="8">
        <v>349.5</v>
      </c>
      <c r="I43" s="5">
        <f t="shared" si="6"/>
        <v>1.2540725962711524E-3</v>
      </c>
      <c r="J43" s="5">
        <f t="shared" si="7"/>
        <v>2.2573306732880742</v>
      </c>
      <c r="K43" s="3">
        <f t="shared" si="8"/>
        <v>90.29322693152298</v>
      </c>
      <c r="L43" s="2"/>
      <c r="M43" s="7">
        <v>120</v>
      </c>
      <c r="N43" s="6">
        <v>349.6</v>
      </c>
      <c r="O43" s="5">
        <f t="shared" si="9"/>
        <v>1.2544314153258795E-3</v>
      </c>
      <c r="P43" s="5">
        <f t="shared" si="10"/>
        <v>2.2579765475865829</v>
      </c>
      <c r="Q43" s="3">
        <f t="shared" si="11"/>
        <v>90.319061903463322</v>
      </c>
      <c r="R43" s="1"/>
      <c r="S43" s="4">
        <f t="shared" si="1"/>
        <v>90.456848420478522</v>
      </c>
      <c r="T43" s="3">
        <f t="shared" si="2"/>
        <v>0.21338845796846365</v>
      </c>
    </row>
    <row r="44" spans="1:20">
      <c r="A44" s="7">
        <v>180</v>
      </c>
      <c r="B44" s="10">
        <v>343</v>
      </c>
      <c r="C44" s="5">
        <f t="shared" si="3"/>
        <v>1.2307493577138921E-3</v>
      </c>
      <c r="D44" s="5">
        <f t="shared" si="4"/>
        <v>2.215348843885006</v>
      </c>
      <c r="E44" s="3">
        <f t="shared" si="5"/>
        <v>88.613953755400246</v>
      </c>
      <c r="F44" s="2"/>
      <c r="G44" s="9">
        <v>180</v>
      </c>
      <c r="H44" s="8">
        <v>337.7</v>
      </c>
      <c r="I44" s="5">
        <f t="shared" si="6"/>
        <v>1.2117319478133566E-3</v>
      </c>
      <c r="J44" s="5">
        <f t="shared" si="7"/>
        <v>2.1811175060640418</v>
      </c>
      <c r="K44" s="3">
        <f t="shared" si="8"/>
        <v>87.244700242561663</v>
      </c>
      <c r="L44" s="2"/>
      <c r="M44" s="7">
        <v>180</v>
      </c>
      <c r="N44" s="6">
        <v>342.4</v>
      </c>
      <c r="O44" s="5">
        <f t="shared" si="9"/>
        <v>1.2285964433855294E-3</v>
      </c>
      <c r="P44" s="5">
        <f t="shared" si="10"/>
        <v>2.2114735980939528</v>
      </c>
      <c r="Q44" s="3">
        <f t="shared" si="11"/>
        <v>88.458943923758113</v>
      </c>
      <c r="R44" s="1"/>
      <c r="S44" s="4">
        <f t="shared" si="1"/>
        <v>88.10586597390666</v>
      </c>
      <c r="T44" s="3">
        <f t="shared" si="2"/>
        <v>0.61221555278549356</v>
      </c>
    </row>
    <row r="45" spans="1:20">
      <c r="A45" s="6">
        <v>360</v>
      </c>
      <c r="B45" s="10">
        <v>336.7</v>
      </c>
      <c r="C45" s="5">
        <f t="shared" si="3"/>
        <v>1.2081437572660858E-3</v>
      </c>
      <c r="D45" s="5">
        <f t="shared" si="4"/>
        <v>2.1746587630789547</v>
      </c>
      <c r="E45" s="3">
        <f t="shared" si="5"/>
        <v>86.98635052315818</v>
      </c>
      <c r="F45" s="2"/>
      <c r="G45" s="22">
        <v>360</v>
      </c>
      <c r="H45" s="8">
        <v>337.3</v>
      </c>
      <c r="I45" s="5">
        <f t="shared" si="6"/>
        <v>1.2102966715944485E-3</v>
      </c>
      <c r="J45" s="5">
        <f t="shared" si="7"/>
        <v>2.1785340088700074</v>
      </c>
      <c r="K45" s="3">
        <f t="shared" si="8"/>
        <v>87.141360354800284</v>
      </c>
      <c r="L45" s="2"/>
      <c r="M45" s="6">
        <v>360</v>
      </c>
      <c r="N45" s="6">
        <v>337.4</v>
      </c>
      <c r="O45" s="5">
        <f t="shared" si="9"/>
        <v>1.2106554906491753E-3</v>
      </c>
      <c r="P45" s="5">
        <f t="shared" si="10"/>
        <v>2.1791798831685156</v>
      </c>
      <c r="Q45" s="3">
        <f t="shared" si="11"/>
        <v>87.167195326740625</v>
      </c>
      <c r="R45" s="1"/>
      <c r="S45" s="4">
        <f t="shared" si="1"/>
        <v>87.098302068233025</v>
      </c>
      <c r="T45" s="3">
        <f t="shared" si="2"/>
        <v>7.9861224538880227E-2</v>
      </c>
    </row>
    <row r="46" spans="1:20">
      <c r="A46" s="6"/>
      <c r="B46" s="10"/>
      <c r="C46" s="5"/>
      <c r="D46" s="5"/>
      <c r="E46" s="1"/>
      <c r="F46" s="2"/>
      <c r="G46" s="22"/>
      <c r="H46" s="8"/>
      <c r="I46" s="5"/>
      <c r="J46" s="5"/>
      <c r="K46" s="1"/>
      <c r="L46" s="2"/>
      <c r="M46" s="6"/>
      <c r="N46" s="6"/>
      <c r="O46" s="5"/>
      <c r="P46" s="5"/>
      <c r="Q46" s="1"/>
      <c r="R46" s="1"/>
      <c r="S46" s="1"/>
      <c r="T46" s="1"/>
    </row>
    <row r="47" spans="1:20" ht="17" thickBo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14"/>
      <c r="T47" s="14"/>
    </row>
    <row r="48" spans="1:20">
      <c r="A48" s="36" t="s">
        <v>37</v>
      </c>
      <c r="B48" s="37"/>
      <c r="C48" s="18">
        <v>2.5</v>
      </c>
      <c r="D48" s="18"/>
      <c r="E48" s="17"/>
      <c r="F48" s="2"/>
      <c r="G48" s="38" t="s">
        <v>37</v>
      </c>
      <c r="H48" s="39"/>
      <c r="I48" s="18">
        <v>2.5</v>
      </c>
      <c r="J48" s="18"/>
      <c r="K48" s="17"/>
      <c r="L48" s="2"/>
      <c r="M48" s="38" t="s">
        <v>37</v>
      </c>
      <c r="N48" s="39"/>
      <c r="O48" s="18">
        <v>2.5</v>
      </c>
      <c r="P48" s="18"/>
      <c r="Q48" s="17"/>
      <c r="R48" s="6"/>
      <c r="S48" s="14"/>
      <c r="T48" s="14"/>
    </row>
    <row r="49" spans="1:22" ht="17" thickBot="1">
      <c r="A49" s="16" t="s">
        <v>9</v>
      </c>
      <c r="B49" s="15"/>
      <c r="C49" s="6"/>
      <c r="D49" s="6"/>
      <c r="E49" s="11"/>
      <c r="F49" s="2"/>
      <c r="G49" s="16" t="s">
        <v>8</v>
      </c>
      <c r="H49" s="15"/>
      <c r="I49" s="6"/>
      <c r="J49" s="6"/>
      <c r="K49" s="11"/>
      <c r="L49" s="2"/>
      <c r="M49" s="16" t="s">
        <v>7</v>
      </c>
      <c r="N49" s="15"/>
      <c r="O49" s="6"/>
      <c r="P49" s="6"/>
      <c r="Q49" s="11"/>
      <c r="R49" s="6"/>
      <c r="S49" s="14"/>
      <c r="T49" s="14"/>
    </row>
    <row r="50" spans="1:22">
      <c r="A50" s="7" t="s">
        <v>6</v>
      </c>
      <c r="B50" s="6" t="s">
        <v>5</v>
      </c>
      <c r="C50" s="6" t="s">
        <v>4</v>
      </c>
      <c r="D50" s="6" t="s">
        <v>3</v>
      </c>
      <c r="E50" s="11" t="s">
        <v>2</v>
      </c>
      <c r="F50" s="2"/>
      <c r="G50" s="7" t="s">
        <v>6</v>
      </c>
      <c r="H50" s="6" t="s">
        <v>5</v>
      </c>
      <c r="I50" s="6" t="s">
        <v>4</v>
      </c>
      <c r="J50" s="6" t="s">
        <v>3</v>
      </c>
      <c r="K50" s="11" t="s">
        <v>2</v>
      </c>
      <c r="L50" s="2"/>
      <c r="M50" s="7" t="s">
        <v>6</v>
      </c>
      <c r="N50" s="6" t="s">
        <v>5</v>
      </c>
      <c r="O50" s="6" t="s">
        <v>4</v>
      </c>
      <c r="P50" s="6" t="s">
        <v>3</v>
      </c>
      <c r="Q50" s="11" t="s">
        <v>2</v>
      </c>
      <c r="R50" s="6"/>
      <c r="S50" s="13" t="s">
        <v>1</v>
      </c>
      <c r="T50" s="12" t="s">
        <v>0</v>
      </c>
      <c r="V50" s="22" t="s">
        <v>71</v>
      </c>
    </row>
    <row r="51" spans="1:22">
      <c r="A51" s="7">
        <v>0</v>
      </c>
      <c r="B51" s="6">
        <v>0</v>
      </c>
      <c r="C51" s="6">
        <v>0</v>
      </c>
      <c r="D51" s="6">
        <v>0</v>
      </c>
      <c r="E51" s="11">
        <v>0</v>
      </c>
      <c r="F51" s="2"/>
      <c r="G51" s="7">
        <v>0</v>
      </c>
      <c r="H51" s="6">
        <v>0</v>
      </c>
      <c r="I51" s="6">
        <f>H51/25144</f>
        <v>0</v>
      </c>
      <c r="J51" s="6">
        <f>I51*900</f>
        <v>0</v>
      </c>
      <c r="K51" s="11">
        <f>J51/100*100</f>
        <v>0</v>
      </c>
      <c r="L51" s="2"/>
      <c r="M51" s="7">
        <v>0</v>
      </c>
      <c r="N51" s="6">
        <v>0</v>
      </c>
      <c r="O51" s="6">
        <f>N51/25144</f>
        <v>0</v>
      </c>
      <c r="P51" s="6">
        <f>O51*900</f>
        <v>0</v>
      </c>
      <c r="Q51" s="11">
        <f>P51/100*100</f>
        <v>0</v>
      </c>
      <c r="R51" s="6"/>
      <c r="S51" s="4">
        <f>AVERAGE(E51,K51,Q51)</f>
        <v>0</v>
      </c>
      <c r="T51" s="3">
        <f>STDEVP(E51,K51,Q51)</f>
        <v>0</v>
      </c>
    </row>
    <row r="52" spans="1:22">
      <c r="A52" s="7">
        <v>5</v>
      </c>
      <c r="B52" s="6">
        <v>0</v>
      </c>
      <c r="C52" s="5">
        <v>0</v>
      </c>
      <c r="D52" s="5">
        <v>0</v>
      </c>
      <c r="E52" s="3">
        <v>0</v>
      </c>
      <c r="F52" s="2"/>
      <c r="G52" s="7">
        <v>5</v>
      </c>
      <c r="H52" s="6">
        <v>0</v>
      </c>
      <c r="I52" s="5">
        <f>H52/25149</f>
        <v>0</v>
      </c>
      <c r="J52" s="5">
        <v>0</v>
      </c>
      <c r="K52" s="3">
        <v>0</v>
      </c>
      <c r="L52" s="2"/>
      <c r="M52" s="7">
        <v>5</v>
      </c>
      <c r="N52" s="6">
        <v>0</v>
      </c>
      <c r="O52" s="5">
        <f>N52/129441</f>
        <v>0</v>
      </c>
      <c r="P52" s="5">
        <f>O52*2*900</f>
        <v>0</v>
      </c>
      <c r="Q52" s="3">
        <f>P52/2.5*100</f>
        <v>0</v>
      </c>
      <c r="R52" s="1"/>
      <c r="S52" s="4">
        <f>AVERAGE(E52,K52,Q52)</f>
        <v>0</v>
      </c>
      <c r="T52" s="3">
        <f>STDEVP(E52,K52,Q52)</f>
        <v>0</v>
      </c>
    </row>
    <row r="53" spans="1:22">
      <c r="A53" s="7">
        <v>15</v>
      </c>
      <c r="B53" s="6">
        <v>6.7</v>
      </c>
      <c r="C53" s="5">
        <f>B53/278692</f>
        <v>2.404087666671451E-5</v>
      </c>
      <c r="D53" s="5">
        <f>C53*2*900</f>
        <v>4.3273578000086119E-2</v>
      </c>
      <c r="E53" s="3">
        <f>D53/2.5*100</f>
        <v>1.7309431200034449</v>
      </c>
      <c r="F53" s="2"/>
      <c r="G53" s="7">
        <v>15</v>
      </c>
      <c r="H53" s="6">
        <v>6.2</v>
      </c>
      <c r="I53" s="5">
        <f>H53/278692</f>
        <v>2.22467813930791E-5</v>
      </c>
      <c r="J53" s="5">
        <f>I53*2*900</f>
        <v>4.0044206507542382E-2</v>
      </c>
      <c r="K53" s="3">
        <f>J53/2.5*100</f>
        <v>1.6017682603016954</v>
      </c>
      <c r="L53" s="2"/>
      <c r="M53" s="7">
        <v>15</v>
      </c>
      <c r="N53" s="6">
        <v>5.7</v>
      </c>
      <c r="O53" s="5">
        <f>N53/278692</f>
        <v>2.0452686119443687E-5</v>
      </c>
      <c r="P53" s="5">
        <f t="shared" ref="P53:P61" si="12">O53*2*900</f>
        <v>3.6814835014998638E-2</v>
      </c>
      <c r="Q53" s="3">
        <f t="shared" ref="Q53:Q61" si="13">P53/2.5*100</f>
        <v>1.4725934005999455</v>
      </c>
      <c r="R53" s="1"/>
      <c r="S53" s="4">
        <f t="shared" ref="S53:S61" si="14">AVERAGE(E53,K53,Q53)</f>
        <v>1.6017682603016954</v>
      </c>
      <c r="T53" s="3">
        <f t="shared" ref="T53:T61" si="15">STDEVP(E53,K53,Q53)</f>
        <v>0.10547083128829733</v>
      </c>
      <c r="V53">
        <f>T53/S53</f>
        <v>6.5846498461913427E-2</v>
      </c>
    </row>
    <row r="54" spans="1:22">
      <c r="A54" s="7">
        <v>30</v>
      </c>
      <c r="B54" s="6">
        <v>5.9</v>
      </c>
      <c r="C54" s="5">
        <f t="shared" ref="C54:C61" si="16">B54/278692</f>
        <v>2.1170324228897852E-5</v>
      </c>
      <c r="D54" s="5">
        <f t="shared" ref="D54:D61" si="17">C54*2*900</f>
        <v>3.8106583612016132E-2</v>
      </c>
      <c r="E54" s="3">
        <f t="shared" ref="E54:E61" si="18">D54/2.5*100</f>
        <v>1.5242633444806453</v>
      </c>
      <c r="F54" s="2"/>
      <c r="G54" s="7">
        <v>30</v>
      </c>
      <c r="H54" s="6">
        <v>6.6</v>
      </c>
      <c r="I54" s="5">
        <f t="shared" ref="I54:I61" si="19">H54/278692</f>
        <v>2.3682057611987427E-5</v>
      </c>
      <c r="J54" s="5">
        <f t="shared" ref="J54:J61" si="20">I54*2*900</f>
        <v>4.2627703701577369E-2</v>
      </c>
      <c r="K54" s="3">
        <f t="shared" ref="K54:K61" si="21">J54/2.5*100</f>
        <v>1.7051081480630947</v>
      </c>
      <c r="L54" s="2"/>
      <c r="M54" s="7">
        <v>30</v>
      </c>
      <c r="N54" s="6">
        <v>9.1999999999999993</v>
      </c>
      <c r="O54" s="5">
        <f t="shared" ref="O54:O61" si="22">N54/278692</f>
        <v>3.3011353034891562E-5</v>
      </c>
      <c r="P54" s="5">
        <f t="shared" si="12"/>
        <v>5.9420435462804809E-2</v>
      </c>
      <c r="Q54" s="3">
        <f t="shared" si="13"/>
        <v>2.3768174185121924</v>
      </c>
      <c r="R54" s="1"/>
      <c r="S54" s="4">
        <f t="shared" si="14"/>
        <v>1.8687296370186441</v>
      </c>
      <c r="T54" s="3">
        <f t="shared" si="15"/>
        <v>0.36677977590826044</v>
      </c>
      <c r="V54">
        <f t="shared" ref="V54:V61" si="23">T54/S54</f>
        <v>0.19627225289444111</v>
      </c>
    </row>
    <row r="55" spans="1:22">
      <c r="A55" s="7">
        <v>45</v>
      </c>
      <c r="B55" s="6">
        <v>6.4</v>
      </c>
      <c r="C55" s="5">
        <f t="shared" si="16"/>
        <v>2.2964419502533265E-5</v>
      </c>
      <c r="D55" s="5">
        <f t="shared" si="17"/>
        <v>4.1335955104559875E-2</v>
      </c>
      <c r="E55" s="3">
        <f t="shared" si="18"/>
        <v>1.6534382041823952</v>
      </c>
      <c r="F55" s="2"/>
      <c r="G55" s="7">
        <v>45</v>
      </c>
      <c r="H55" s="6">
        <v>6.5</v>
      </c>
      <c r="I55" s="5">
        <f t="shared" si="19"/>
        <v>2.3323238557260345E-5</v>
      </c>
      <c r="J55" s="5">
        <f t="shared" si="20"/>
        <v>4.1981829403068618E-2</v>
      </c>
      <c r="K55" s="3">
        <f t="shared" si="21"/>
        <v>1.6792731761227446</v>
      </c>
      <c r="L55" s="2"/>
      <c r="M55" s="7">
        <v>45</v>
      </c>
      <c r="N55" s="6">
        <v>6.1</v>
      </c>
      <c r="O55" s="5">
        <f t="shared" si="22"/>
        <v>2.1887962338352014E-5</v>
      </c>
      <c r="P55" s="5">
        <f t="shared" si="12"/>
        <v>3.9398332209033625E-2</v>
      </c>
      <c r="Q55" s="3">
        <f t="shared" si="13"/>
        <v>1.5759332883613451</v>
      </c>
      <c r="R55" s="1"/>
      <c r="S55" s="4">
        <f t="shared" si="14"/>
        <v>1.6362148895554949</v>
      </c>
      <c r="T55" s="3">
        <f t="shared" si="15"/>
        <v>4.3911008685655444E-2</v>
      </c>
      <c r="V55">
        <f t="shared" si="23"/>
        <v>2.6836944808383088E-2</v>
      </c>
    </row>
    <row r="56" spans="1:22">
      <c r="A56" s="7">
        <v>60</v>
      </c>
      <c r="B56" s="6">
        <v>6.5</v>
      </c>
      <c r="C56" s="5">
        <f t="shared" si="16"/>
        <v>2.3323238557260345E-5</v>
      </c>
      <c r="D56" s="5">
        <f t="shared" si="17"/>
        <v>4.1981829403068618E-2</v>
      </c>
      <c r="E56" s="3">
        <f t="shared" si="18"/>
        <v>1.6792731761227446</v>
      </c>
      <c r="F56" s="2"/>
      <c r="G56" s="7">
        <v>60</v>
      </c>
      <c r="H56" s="6">
        <v>6.6</v>
      </c>
      <c r="I56" s="5">
        <f t="shared" si="19"/>
        <v>2.3682057611987427E-5</v>
      </c>
      <c r="J56" s="5">
        <f t="shared" si="20"/>
        <v>4.2627703701577369E-2</v>
      </c>
      <c r="K56" s="3">
        <f t="shared" si="21"/>
        <v>1.7051081480630947</v>
      </c>
      <c r="L56" s="2"/>
      <c r="M56" s="7">
        <v>60</v>
      </c>
      <c r="N56" s="6">
        <v>7.7</v>
      </c>
      <c r="O56" s="5">
        <f t="shared" si="22"/>
        <v>2.7629067213985333E-5</v>
      </c>
      <c r="P56" s="5">
        <f t="shared" si="12"/>
        <v>4.9732320985173599E-2</v>
      </c>
      <c r="Q56" s="3">
        <f t="shared" si="13"/>
        <v>1.989292839406944</v>
      </c>
      <c r="R56" s="1"/>
      <c r="S56" s="4">
        <f t="shared" si="14"/>
        <v>1.7912247211975945</v>
      </c>
      <c r="T56" s="3">
        <f t="shared" si="15"/>
        <v>0.14045188032925326</v>
      </c>
      <c r="V56">
        <f t="shared" si="23"/>
        <v>7.8411088607212048E-2</v>
      </c>
    </row>
    <row r="57" spans="1:22">
      <c r="A57" s="7">
        <v>75</v>
      </c>
      <c r="B57" s="6">
        <v>5.3</v>
      </c>
      <c r="C57" s="5">
        <f t="shared" si="16"/>
        <v>1.9017409900535356E-5</v>
      </c>
      <c r="D57" s="5">
        <f t="shared" si="17"/>
        <v>3.4231337820963638E-2</v>
      </c>
      <c r="E57" s="3">
        <f t="shared" si="18"/>
        <v>1.3692535128385455</v>
      </c>
      <c r="F57" s="2"/>
      <c r="G57" s="7">
        <v>75</v>
      </c>
      <c r="H57" s="6">
        <v>7.6</v>
      </c>
      <c r="I57" s="5">
        <f t="shared" si="19"/>
        <v>2.7270248159258247E-5</v>
      </c>
      <c r="J57" s="5">
        <f t="shared" si="20"/>
        <v>4.9086446686664842E-2</v>
      </c>
      <c r="K57" s="3">
        <f t="shared" si="21"/>
        <v>1.9634578674665937</v>
      </c>
      <c r="L57" s="2"/>
      <c r="M57" s="7">
        <v>75</v>
      </c>
      <c r="N57" s="6">
        <v>6.2</v>
      </c>
      <c r="O57" s="5">
        <f t="shared" si="22"/>
        <v>2.22467813930791E-5</v>
      </c>
      <c r="P57" s="5">
        <f t="shared" si="12"/>
        <v>4.0044206507542382E-2</v>
      </c>
      <c r="Q57" s="3">
        <f t="shared" si="13"/>
        <v>1.6017682603016954</v>
      </c>
      <c r="R57" s="1"/>
      <c r="S57" s="4">
        <f t="shared" si="14"/>
        <v>1.6448265468689449</v>
      </c>
      <c r="T57" s="3">
        <f t="shared" si="15"/>
        <v>0.24448614929591037</v>
      </c>
      <c r="V57">
        <f t="shared" si="23"/>
        <v>0.1486394719013435</v>
      </c>
    </row>
    <row r="58" spans="1:22">
      <c r="A58" s="7">
        <v>90</v>
      </c>
      <c r="B58" s="6">
        <v>6.8</v>
      </c>
      <c r="C58" s="5">
        <f t="shared" si="16"/>
        <v>2.4399695721441589E-5</v>
      </c>
      <c r="D58" s="5">
        <f t="shared" si="17"/>
        <v>4.3919452298594862E-2</v>
      </c>
      <c r="E58" s="3">
        <f t="shared" si="18"/>
        <v>1.7567780919437943</v>
      </c>
      <c r="F58" s="2"/>
      <c r="G58" s="7">
        <v>90</v>
      </c>
      <c r="H58" s="6">
        <v>6.9</v>
      </c>
      <c r="I58" s="5">
        <f t="shared" si="19"/>
        <v>2.4758514776168675E-5</v>
      </c>
      <c r="J58" s="5">
        <f t="shared" si="20"/>
        <v>4.4565326597103612E-2</v>
      </c>
      <c r="K58" s="3">
        <f t="shared" si="21"/>
        <v>1.7826130638841444</v>
      </c>
      <c r="L58" s="2"/>
      <c r="M58" s="7">
        <v>90</v>
      </c>
      <c r="N58" s="6">
        <v>6.3</v>
      </c>
      <c r="O58" s="5">
        <f t="shared" si="22"/>
        <v>2.2605600447806179E-5</v>
      </c>
      <c r="P58" s="5">
        <f t="shared" si="12"/>
        <v>4.0690080806051125E-2</v>
      </c>
      <c r="Q58" s="3">
        <f t="shared" si="13"/>
        <v>1.6276032322420451</v>
      </c>
      <c r="R58" s="1"/>
      <c r="S58" s="4">
        <f t="shared" si="14"/>
        <v>1.7223314626899946</v>
      </c>
      <c r="T58" s="3">
        <f t="shared" si="15"/>
        <v>6.7808257494396382E-2</v>
      </c>
      <c r="V58">
        <f t="shared" si="23"/>
        <v>3.9370039370058993E-2</v>
      </c>
    </row>
    <row r="59" spans="1:22">
      <c r="A59" s="7">
        <v>120</v>
      </c>
      <c r="B59" s="10">
        <v>6.6</v>
      </c>
      <c r="C59" s="5">
        <f t="shared" si="16"/>
        <v>2.3682057611987427E-5</v>
      </c>
      <c r="D59" s="5">
        <f t="shared" si="17"/>
        <v>4.2627703701577369E-2</v>
      </c>
      <c r="E59" s="3">
        <f t="shared" si="18"/>
        <v>1.7051081480630947</v>
      </c>
      <c r="F59" s="2"/>
      <c r="G59" s="9">
        <v>120</v>
      </c>
      <c r="H59" s="8">
        <v>5.8</v>
      </c>
      <c r="I59" s="5">
        <f t="shared" si="19"/>
        <v>2.081150517417077E-5</v>
      </c>
      <c r="J59" s="5">
        <f t="shared" si="20"/>
        <v>3.7460709313507388E-2</v>
      </c>
      <c r="K59" s="3">
        <f t="shared" si="21"/>
        <v>1.4984283725402956</v>
      </c>
      <c r="L59" s="2"/>
      <c r="M59" s="7">
        <v>120</v>
      </c>
      <c r="N59" s="6">
        <v>5.6</v>
      </c>
      <c r="O59" s="5">
        <f t="shared" si="22"/>
        <v>2.0093867064716604E-5</v>
      </c>
      <c r="P59" s="5">
        <f t="shared" si="12"/>
        <v>3.6168960716489888E-2</v>
      </c>
      <c r="Q59" s="3">
        <f t="shared" si="13"/>
        <v>1.4467584286595956</v>
      </c>
      <c r="R59" s="1"/>
      <c r="S59" s="4">
        <f t="shared" si="14"/>
        <v>1.5500983164209954</v>
      </c>
      <c r="T59" s="3">
        <f t="shared" si="15"/>
        <v>0.11161983606403383</v>
      </c>
      <c r="V59">
        <f t="shared" si="23"/>
        <v>7.2008229982309518E-2</v>
      </c>
    </row>
    <row r="60" spans="1:22">
      <c r="A60" s="7">
        <v>180</v>
      </c>
      <c r="B60" s="10">
        <v>6.5</v>
      </c>
      <c r="C60" s="5">
        <f t="shared" si="16"/>
        <v>2.3323238557260345E-5</v>
      </c>
      <c r="D60" s="5">
        <f t="shared" si="17"/>
        <v>4.1981829403068618E-2</v>
      </c>
      <c r="E60" s="3">
        <f t="shared" si="18"/>
        <v>1.6792731761227446</v>
      </c>
      <c r="F60" s="2"/>
      <c r="G60" s="9">
        <v>180</v>
      </c>
      <c r="H60" s="8">
        <v>7</v>
      </c>
      <c r="I60" s="5">
        <f t="shared" si="19"/>
        <v>2.5117333830895754E-5</v>
      </c>
      <c r="J60" s="5">
        <f t="shared" si="20"/>
        <v>4.5211200895612355E-2</v>
      </c>
      <c r="K60" s="3">
        <f t="shared" si="21"/>
        <v>1.8084480358244941</v>
      </c>
      <c r="L60" s="2"/>
      <c r="M60" s="7">
        <v>180</v>
      </c>
      <c r="N60" s="6">
        <v>6</v>
      </c>
      <c r="O60" s="5">
        <f t="shared" si="22"/>
        <v>2.1529143283624935E-5</v>
      </c>
      <c r="P60" s="5">
        <f t="shared" si="12"/>
        <v>3.8752457910524882E-2</v>
      </c>
      <c r="Q60" s="3">
        <f t="shared" si="13"/>
        <v>1.5500983164209952</v>
      </c>
      <c r="R60" s="1"/>
      <c r="S60" s="4">
        <f t="shared" si="14"/>
        <v>1.6792731761227448</v>
      </c>
      <c r="T60" s="3">
        <f t="shared" si="15"/>
        <v>0.10547083128829714</v>
      </c>
      <c r="V60">
        <f t="shared" si="23"/>
        <v>6.2807429302132706E-2</v>
      </c>
    </row>
    <row r="61" spans="1:22">
      <c r="A61" s="9">
        <v>360</v>
      </c>
      <c r="B61" s="22">
        <v>6.8</v>
      </c>
      <c r="C61" s="5">
        <f t="shared" si="16"/>
        <v>2.4399695721441589E-5</v>
      </c>
      <c r="D61" s="5">
        <f t="shared" si="17"/>
        <v>4.3919452298594862E-2</v>
      </c>
      <c r="E61" s="3">
        <f t="shared" si="18"/>
        <v>1.7567780919437943</v>
      </c>
      <c r="G61" s="9">
        <v>360</v>
      </c>
      <c r="H61" s="22">
        <v>6.2</v>
      </c>
      <c r="I61" s="5">
        <f t="shared" si="19"/>
        <v>2.22467813930791E-5</v>
      </c>
      <c r="J61" s="5">
        <f t="shared" si="20"/>
        <v>4.0044206507542382E-2</v>
      </c>
      <c r="K61" s="3">
        <f t="shared" si="21"/>
        <v>1.6017682603016954</v>
      </c>
      <c r="M61" s="9">
        <v>360</v>
      </c>
      <c r="N61" s="22">
        <v>6.4</v>
      </c>
      <c r="O61" s="5">
        <f t="shared" si="22"/>
        <v>2.2964419502533265E-5</v>
      </c>
      <c r="P61" s="5">
        <f t="shared" si="12"/>
        <v>4.1335955104559875E-2</v>
      </c>
      <c r="Q61" s="3">
        <f t="shared" si="13"/>
        <v>1.6534382041823952</v>
      </c>
      <c r="S61" s="25">
        <f t="shared" si="14"/>
        <v>1.670661518809295</v>
      </c>
      <c r="T61" s="24">
        <f t="shared" si="15"/>
        <v>6.4443742398471601E-2</v>
      </c>
      <c r="V61">
        <f t="shared" si="23"/>
        <v>3.8573787492514701E-2</v>
      </c>
    </row>
    <row r="64" spans="1:22">
      <c r="B64" t="s">
        <v>14</v>
      </c>
      <c r="C64" t="s">
        <v>10</v>
      </c>
    </row>
    <row r="65" spans="1:3">
      <c r="A65" t="s">
        <v>19</v>
      </c>
      <c r="B65">
        <v>42.57</v>
      </c>
      <c r="C65">
        <v>81</v>
      </c>
    </row>
    <row r="66" spans="1:3">
      <c r="B66">
        <v>62.43</v>
      </c>
      <c r="C66">
        <v>101.4</v>
      </c>
    </row>
    <row r="67" spans="1:3">
      <c r="B67">
        <v>66.98</v>
      </c>
      <c r="C67">
        <v>85.57</v>
      </c>
    </row>
    <row r="69" spans="1:3">
      <c r="A69" t="s">
        <v>20</v>
      </c>
      <c r="B69">
        <f>_xlfn.T.TEST(B65:B67,C65:C67,2,2)</f>
        <v>3.0108439981409336E-2</v>
      </c>
    </row>
  </sheetData>
  <mergeCells count="6">
    <mergeCell ref="A32:B32"/>
    <mergeCell ref="G32:H32"/>
    <mergeCell ref="M32:N32"/>
    <mergeCell ref="A48:B48"/>
    <mergeCell ref="G48:H48"/>
    <mergeCell ref="M48:N48"/>
  </mergeCells>
  <pageMargins left="0.7" right="0.7" top="0.75" bottom="0.75" header="0.3" footer="0.3"/>
  <pageSetup paperSize="9" orientation="portrait" horizontalDpi="0" verticalDpi="0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3C43C-23D6-5D40-BCD1-97833DB9A529}">
  <dimension ref="A1:T69"/>
  <sheetViews>
    <sheetView topLeftCell="B35" workbookViewId="0">
      <selection activeCell="C54" sqref="C54"/>
    </sheetView>
  </sheetViews>
  <sheetFormatPr baseColWidth="10" defaultRowHeight="16"/>
  <cols>
    <col min="2" max="2" width="21" customWidth="1"/>
  </cols>
  <sheetData>
    <row r="1" spans="1:3">
      <c r="A1" t="s">
        <v>18</v>
      </c>
      <c r="C1">
        <v>65.2</v>
      </c>
    </row>
    <row r="2" spans="1:3">
      <c r="A2" t="s">
        <v>17</v>
      </c>
      <c r="B2" t="s">
        <v>16</v>
      </c>
      <c r="C2">
        <v>66.8</v>
      </c>
    </row>
    <row r="3" spans="1:3">
      <c r="A3" s="19">
        <v>5.0000000000000001E-4</v>
      </c>
      <c r="B3" s="20">
        <f>AVERAGE(C1:C3)</f>
        <v>66.033333333333331</v>
      </c>
      <c r="C3">
        <v>66.099999999999994</v>
      </c>
    </row>
    <row r="4" spans="1:3">
      <c r="A4" s="19">
        <v>1E-3</v>
      </c>
      <c r="B4">
        <v>137.9</v>
      </c>
    </row>
    <row r="5" spans="1:3">
      <c r="A5" s="19">
        <v>0.01</v>
      </c>
      <c r="B5" s="21">
        <v>1325.1</v>
      </c>
    </row>
    <row r="6" spans="1:3">
      <c r="A6" s="19">
        <v>0.05</v>
      </c>
      <c r="B6" s="21">
        <v>6925.3</v>
      </c>
    </row>
    <row r="7" spans="1:3">
      <c r="A7" s="19">
        <v>0.1</v>
      </c>
      <c r="B7" s="21">
        <v>13875.4</v>
      </c>
    </row>
    <row r="9" spans="1:3">
      <c r="A9" t="s">
        <v>0</v>
      </c>
      <c r="B9" t="s">
        <v>15</v>
      </c>
    </row>
    <row r="10" spans="1:3">
      <c r="A10">
        <f>STDEV(C1:C3)</f>
        <v>0.80208062770106126</v>
      </c>
      <c r="B10">
        <f>3*A10/26064</f>
        <v>9.2320514238151624E-5</v>
      </c>
    </row>
    <row r="16" spans="1:3">
      <c r="A16" t="s">
        <v>26</v>
      </c>
      <c r="B16" t="s">
        <v>27</v>
      </c>
    </row>
    <row r="17" spans="1:20">
      <c r="A17" t="s">
        <v>22</v>
      </c>
      <c r="B17" t="s">
        <v>32</v>
      </c>
    </row>
    <row r="18" spans="1:20">
      <c r="A18" t="s">
        <v>23</v>
      </c>
      <c r="B18" t="s">
        <v>38</v>
      </c>
    </row>
    <row r="19" spans="1:20">
      <c r="A19" t="s">
        <v>24</v>
      </c>
      <c r="B19" t="s">
        <v>28</v>
      </c>
    </row>
    <row r="20" spans="1:20">
      <c r="A20" t="s">
        <v>25</v>
      </c>
      <c r="B20" t="s">
        <v>29</v>
      </c>
    </row>
    <row r="21" spans="1:20">
      <c r="A21" t="s">
        <v>30</v>
      </c>
      <c r="B21" t="s">
        <v>39</v>
      </c>
    </row>
    <row r="24" spans="1:20">
      <c r="A24" t="s">
        <v>35</v>
      </c>
      <c r="B24" t="s">
        <v>31</v>
      </c>
    </row>
    <row r="25" spans="1:20">
      <c r="A25" t="s">
        <v>16</v>
      </c>
      <c r="B25" t="s">
        <v>21</v>
      </c>
    </row>
    <row r="26" spans="1:20">
      <c r="A26">
        <v>12113.1</v>
      </c>
      <c r="B26">
        <f>A26/138655</f>
        <v>8.7361436659334324E-2</v>
      </c>
    </row>
    <row r="27" spans="1:20">
      <c r="A27">
        <v>13591.5</v>
      </c>
      <c r="B27">
        <f t="shared" ref="B27:B28" si="0">A27/138655</f>
        <v>9.8023872200786122E-2</v>
      </c>
    </row>
    <row r="28" spans="1:20">
      <c r="A28">
        <v>11870</v>
      </c>
      <c r="B28">
        <f t="shared" si="0"/>
        <v>8.5608164148425953E-2</v>
      </c>
    </row>
    <row r="29" spans="1:20">
      <c r="B29">
        <f>AVERAGE(B26:B28)</f>
        <v>9.0331157669515452E-2</v>
      </c>
    </row>
    <row r="31" spans="1:20" ht="17" thickBot="1"/>
    <row r="32" spans="1:20">
      <c r="A32" s="36" t="s">
        <v>40</v>
      </c>
      <c r="B32" s="37"/>
      <c r="C32" s="18">
        <v>2.5</v>
      </c>
      <c r="D32" s="18"/>
      <c r="E32" s="17"/>
      <c r="F32" s="2"/>
      <c r="G32" s="36" t="s">
        <v>40</v>
      </c>
      <c r="H32" s="37"/>
      <c r="I32" s="18">
        <v>2.5</v>
      </c>
      <c r="J32" s="18"/>
      <c r="K32" s="17"/>
      <c r="L32" s="2"/>
      <c r="M32" s="36" t="s">
        <v>40</v>
      </c>
      <c r="N32" s="37"/>
      <c r="O32" s="18">
        <v>2.5</v>
      </c>
      <c r="P32" s="18"/>
      <c r="Q32" s="17"/>
      <c r="R32" s="6"/>
      <c r="S32" s="2"/>
      <c r="T32" s="2"/>
    </row>
    <row r="33" spans="1:20" ht="17" thickBot="1">
      <c r="A33" s="16" t="s">
        <v>13</v>
      </c>
      <c r="B33" s="15"/>
      <c r="C33" s="6"/>
      <c r="D33" s="6"/>
      <c r="E33" s="11"/>
      <c r="F33" s="2"/>
      <c r="G33" s="16" t="s">
        <v>12</v>
      </c>
      <c r="H33" s="15"/>
      <c r="I33" s="6"/>
      <c r="J33" s="6"/>
      <c r="K33" s="11"/>
      <c r="L33" s="2"/>
      <c r="M33" s="16" t="s">
        <v>11</v>
      </c>
      <c r="N33" s="15"/>
      <c r="O33" s="6"/>
      <c r="P33" s="6"/>
      <c r="Q33" s="11"/>
      <c r="R33" s="6"/>
      <c r="S33" s="2"/>
      <c r="T33" s="2"/>
    </row>
    <row r="34" spans="1:20">
      <c r="A34" s="7" t="s">
        <v>6</v>
      </c>
      <c r="B34" s="6" t="s">
        <v>5</v>
      </c>
      <c r="C34" s="6" t="s">
        <v>4</v>
      </c>
      <c r="D34" s="6" t="s">
        <v>3</v>
      </c>
      <c r="E34" s="11" t="s">
        <v>2</v>
      </c>
      <c r="F34" s="2"/>
      <c r="G34" s="7" t="s">
        <v>6</v>
      </c>
      <c r="H34" s="6" t="s">
        <v>5</v>
      </c>
      <c r="I34" s="6" t="s">
        <v>4</v>
      </c>
      <c r="J34" s="6" t="s">
        <v>3</v>
      </c>
      <c r="K34" s="11" t="s">
        <v>2</v>
      </c>
      <c r="L34" s="2"/>
      <c r="M34" s="7" t="s">
        <v>6</v>
      </c>
      <c r="N34" s="6" t="s">
        <v>5</v>
      </c>
      <c r="O34" s="6" t="s">
        <v>4</v>
      </c>
      <c r="P34" s="6" t="s">
        <v>3</v>
      </c>
      <c r="Q34" s="11" t="s">
        <v>2</v>
      </c>
      <c r="R34" s="6"/>
      <c r="S34" s="13" t="s">
        <v>1</v>
      </c>
      <c r="T34" s="12" t="s">
        <v>0</v>
      </c>
    </row>
    <row r="35" spans="1:20">
      <c r="A35" s="7">
        <v>0</v>
      </c>
      <c r="B35" s="10">
        <v>0</v>
      </c>
      <c r="C35" s="5">
        <v>0</v>
      </c>
      <c r="D35" s="5">
        <v>0</v>
      </c>
      <c r="E35" s="3">
        <v>0</v>
      </c>
      <c r="F35" s="2"/>
      <c r="G35" s="7">
        <v>0</v>
      </c>
      <c r="H35" s="10">
        <v>0</v>
      </c>
      <c r="I35" s="5">
        <v>0</v>
      </c>
      <c r="J35" s="5">
        <v>0</v>
      </c>
      <c r="K35" s="3">
        <v>0</v>
      </c>
      <c r="L35" s="2"/>
      <c r="M35" s="7">
        <v>0</v>
      </c>
      <c r="N35" s="10">
        <v>0</v>
      </c>
      <c r="O35" s="5">
        <f>N35/25144</f>
        <v>0</v>
      </c>
      <c r="P35" s="5">
        <f>O35*900</f>
        <v>0</v>
      </c>
      <c r="Q35" s="3">
        <f>P35/6.1*100</f>
        <v>0</v>
      </c>
      <c r="R35" s="1"/>
      <c r="S35" s="4">
        <f t="shared" ref="S35:S45" si="1">AVERAGE(E35,K35,Q35)</f>
        <v>0</v>
      </c>
      <c r="T35" s="3">
        <f t="shared" ref="T35:T45" si="2">STDEVP(E35,K35,Q35)</f>
        <v>0</v>
      </c>
    </row>
    <row r="36" spans="1:20">
      <c r="A36" s="7">
        <v>5</v>
      </c>
      <c r="B36" s="10">
        <v>231.4</v>
      </c>
      <c r="C36" s="5">
        <f>B36/138655</f>
        <v>1.6688904114528866E-3</v>
      </c>
      <c r="D36" s="5">
        <f>C36*1.7*900</f>
        <v>2.5534023295229167</v>
      </c>
      <c r="E36" s="3">
        <f>D36/2.5*100</f>
        <v>102.13609318091667</v>
      </c>
      <c r="F36" s="2"/>
      <c r="G36" s="7">
        <v>5</v>
      </c>
      <c r="H36" s="10">
        <v>235.8</v>
      </c>
      <c r="I36" s="5">
        <f>H36/138655</f>
        <v>1.7006238505643504E-3</v>
      </c>
      <c r="J36" s="5">
        <f>I36*1.7*900</f>
        <v>2.6019544913634562</v>
      </c>
      <c r="K36" s="3">
        <f>J36/2.5*100</f>
        <v>104.07817965453825</v>
      </c>
      <c r="L36" s="2"/>
      <c r="M36" s="7">
        <v>5</v>
      </c>
      <c r="N36" s="10">
        <v>236.4</v>
      </c>
      <c r="O36" s="5">
        <f>N36/138655</f>
        <v>1.7049511377159137E-3</v>
      </c>
      <c r="P36" s="5">
        <f>O36*1.7*900</f>
        <v>2.6085752407053477</v>
      </c>
      <c r="Q36" s="3">
        <f>P36/2.5*100</f>
        <v>104.34300962821391</v>
      </c>
      <c r="R36" s="1"/>
      <c r="S36" s="4">
        <f t="shared" si="1"/>
        <v>103.51909415455627</v>
      </c>
      <c r="T36" s="3">
        <f t="shared" si="2"/>
        <v>0.98388769635405249</v>
      </c>
    </row>
    <row r="37" spans="1:20">
      <c r="A37" s="7">
        <v>15</v>
      </c>
      <c r="B37" s="10">
        <v>228.5</v>
      </c>
      <c r="C37" s="5">
        <f t="shared" ref="C37:C45" si="3">B37/138655</f>
        <v>1.6479751902203311E-3</v>
      </c>
      <c r="D37" s="5">
        <f t="shared" ref="D37:D45" si="4">C37*1.7*900</f>
        <v>2.5214020410371063</v>
      </c>
      <c r="E37" s="3">
        <f t="shared" ref="E37:E45" si="5">D37/2.5*100</f>
        <v>100.85608164148425</v>
      </c>
      <c r="F37" s="2"/>
      <c r="G37" s="7">
        <v>15</v>
      </c>
      <c r="H37" s="6">
        <v>235.1</v>
      </c>
      <c r="I37" s="5">
        <f t="shared" ref="I37:I45" si="6">H37/138655</f>
        <v>1.6955753488875265E-3</v>
      </c>
      <c r="J37" s="5">
        <f t="shared" ref="J37:J45" si="7">I37*1.7*900</f>
        <v>2.5942302837979154</v>
      </c>
      <c r="K37" s="3">
        <f t="shared" ref="K37:K45" si="8">J37/2.5*100</f>
        <v>103.76921135191661</v>
      </c>
      <c r="L37" s="2"/>
      <c r="M37" s="7">
        <v>15</v>
      </c>
      <c r="N37" s="6">
        <v>234.3</v>
      </c>
      <c r="O37" s="5">
        <f t="shared" ref="O37:O45" si="9">N37/138655</f>
        <v>1.6898056326854424E-3</v>
      </c>
      <c r="P37" s="5">
        <f t="shared" ref="P37:P45" si="10">O37*1.7*900</f>
        <v>2.5854026180087271</v>
      </c>
      <c r="Q37" s="3">
        <f t="shared" ref="Q37:Q45" si="11">P37/2.5*100</f>
        <v>103.41610472034908</v>
      </c>
      <c r="R37" s="1"/>
      <c r="S37" s="4">
        <f t="shared" si="1"/>
        <v>102.68046590458333</v>
      </c>
      <c r="T37" s="3">
        <f t="shared" si="2"/>
        <v>1.2980638217224079</v>
      </c>
    </row>
    <row r="38" spans="1:20">
      <c r="A38" s="7">
        <v>30</v>
      </c>
      <c r="B38" s="6">
        <v>228.2</v>
      </c>
      <c r="C38" s="5">
        <f t="shared" si="3"/>
        <v>1.6458115466445493E-3</v>
      </c>
      <c r="D38" s="5">
        <f t="shared" si="4"/>
        <v>2.5180916663661601</v>
      </c>
      <c r="E38" s="3">
        <f t="shared" si="5"/>
        <v>100.72366665464641</v>
      </c>
      <c r="F38" s="2"/>
      <c r="G38" s="7">
        <v>30</v>
      </c>
      <c r="H38" s="6">
        <v>235.1</v>
      </c>
      <c r="I38" s="5">
        <f t="shared" si="6"/>
        <v>1.6955753488875265E-3</v>
      </c>
      <c r="J38" s="5">
        <f t="shared" si="7"/>
        <v>2.5942302837979154</v>
      </c>
      <c r="K38" s="3">
        <f t="shared" si="8"/>
        <v>103.76921135191661</v>
      </c>
      <c r="L38" s="2"/>
      <c r="M38" s="7">
        <v>30</v>
      </c>
      <c r="N38" s="6">
        <v>233.5</v>
      </c>
      <c r="O38" s="5">
        <f t="shared" si="9"/>
        <v>1.6840359164833579E-3</v>
      </c>
      <c r="P38" s="5">
        <f t="shared" si="10"/>
        <v>2.5765749522195378</v>
      </c>
      <c r="Q38" s="3">
        <f t="shared" si="11"/>
        <v>103.06299808878153</v>
      </c>
      <c r="R38" s="1"/>
      <c r="S38" s="4">
        <f t="shared" si="1"/>
        <v>102.51862536511486</v>
      </c>
      <c r="T38" s="3">
        <f t="shared" si="2"/>
        <v>1.3015610812845395</v>
      </c>
    </row>
    <row r="39" spans="1:20">
      <c r="A39" s="7">
        <v>45</v>
      </c>
      <c r="B39" s="6">
        <v>228.2</v>
      </c>
      <c r="C39" s="5">
        <f t="shared" si="3"/>
        <v>1.6458115466445493E-3</v>
      </c>
      <c r="D39" s="5">
        <f t="shared" si="4"/>
        <v>2.5180916663661601</v>
      </c>
      <c r="E39" s="3">
        <f t="shared" si="5"/>
        <v>100.72366665464641</v>
      </c>
      <c r="F39" s="2"/>
      <c r="G39" s="7">
        <v>45</v>
      </c>
      <c r="H39" s="6">
        <v>231.8</v>
      </c>
      <c r="I39" s="5">
        <f t="shared" si="6"/>
        <v>1.671775269553929E-3</v>
      </c>
      <c r="J39" s="5">
        <f t="shared" si="7"/>
        <v>2.5578161624175113</v>
      </c>
      <c r="K39" s="3">
        <f t="shared" si="8"/>
        <v>102.31264649670044</v>
      </c>
      <c r="L39" s="2"/>
      <c r="M39" s="7">
        <v>45</v>
      </c>
      <c r="N39" s="6">
        <v>232.4</v>
      </c>
      <c r="O39" s="5">
        <f t="shared" si="9"/>
        <v>1.6761025567054921E-3</v>
      </c>
      <c r="P39" s="5">
        <f t="shared" si="10"/>
        <v>2.5644369117594028</v>
      </c>
      <c r="Q39" s="3">
        <f t="shared" si="11"/>
        <v>102.57747647037611</v>
      </c>
      <c r="R39" s="1"/>
      <c r="S39" s="4">
        <f t="shared" si="1"/>
        <v>101.87126320724099</v>
      </c>
      <c r="T39" s="3">
        <f t="shared" si="2"/>
        <v>0.81864404734678387</v>
      </c>
    </row>
    <row r="40" spans="1:20">
      <c r="A40" s="7">
        <v>60</v>
      </c>
      <c r="B40" s="6">
        <v>227</v>
      </c>
      <c r="C40" s="5">
        <f t="shared" si="3"/>
        <v>1.6371569723414229E-3</v>
      </c>
      <c r="D40" s="5">
        <f t="shared" si="4"/>
        <v>2.5048501676823771</v>
      </c>
      <c r="E40" s="3">
        <f t="shared" si="5"/>
        <v>100.19400670729507</v>
      </c>
      <c r="F40" s="2"/>
      <c r="G40" s="7">
        <v>60</v>
      </c>
      <c r="H40" s="6">
        <v>231.1</v>
      </c>
      <c r="I40" s="5">
        <f t="shared" si="6"/>
        <v>1.6667267678771051E-3</v>
      </c>
      <c r="J40" s="5">
        <f t="shared" si="7"/>
        <v>2.5500919548519705</v>
      </c>
      <c r="K40" s="3">
        <f t="shared" si="8"/>
        <v>102.00367819407883</v>
      </c>
      <c r="L40" s="2"/>
      <c r="M40" s="7">
        <v>60</v>
      </c>
      <c r="N40" s="6">
        <v>230.8</v>
      </c>
      <c r="O40" s="5">
        <f t="shared" si="9"/>
        <v>1.6645631243013236E-3</v>
      </c>
      <c r="P40" s="5">
        <f t="shared" si="10"/>
        <v>2.5467815801810247</v>
      </c>
      <c r="Q40" s="3">
        <f t="shared" si="11"/>
        <v>101.87126320724099</v>
      </c>
      <c r="R40" s="1"/>
      <c r="S40" s="4">
        <f t="shared" si="1"/>
        <v>101.35631603620497</v>
      </c>
      <c r="T40" s="3">
        <f t="shared" si="2"/>
        <v>0.82365270360673859</v>
      </c>
    </row>
    <row r="41" spans="1:20">
      <c r="A41" s="7">
        <v>75</v>
      </c>
      <c r="B41" s="6">
        <v>225</v>
      </c>
      <c r="C41" s="5">
        <f t="shared" si="3"/>
        <v>1.6227326818362123E-3</v>
      </c>
      <c r="D41" s="5">
        <f t="shared" si="4"/>
        <v>2.4827810032094049</v>
      </c>
      <c r="E41" s="3">
        <f t="shared" si="5"/>
        <v>99.311240128376198</v>
      </c>
      <c r="F41" s="2"/>
      <c r="G41" s="7">
        <v>75</v>
      </c>
      <c r="H41" s="6">
        <v>230.7</v>
      </c>
      <c r="I41" s="5">
        <f t="shared" si="6"/>
        <v>1.6638419097760627E-3</v>
      </c>
      <c r="J41" s="5">
        <f t="shared" si="7"/>
        <v>2.5456781219573759</v>
      </c>
      <c r="K41" s="3">
        <f t="shared" si="8"/>
        <v>101.82712487829504</v>
      </c>
      <c r="L41" s="2"/>
      <c r="M41" s="7">
        <v>75</v>
      </c>
      <c r="N41" s="10">
        <v>229.7</v>
      </c>
      <c r="O41" s="5">
        <f t="shared" si="9"/>
        <v>1.6566297645234575E-3</v>
      </c>
      <c r="P41" s="5">
        <f t="shared" si="10"/>
        <v>2.5346435397208897</v>
      </c>
      <c r="Q41" s="3">
        <f t="shared" si="11"/>
        <v>101.3857415888356</v>
      </c>
      <c r="R41" s="1"/>
      <c r="S41" s="4">
        <f t="shared" si="1"/>
        <v>100.84136886516895</v>
      </c>
      <c r="T41" s="3"/>
    </row>
    <row r="42" spans="1:20">
      <c r="A42" s="7">
        <v>90</v>
      </c>
      <c r="B42" s="10">
        <v>224.1</v>
      </c>
      <c r="C42" s="5">
        <f t="shared" si="3"/>
        <v>1.6162417511088672E-3</v>
      </c>
      <c r="D42" s="5">
        <f t="shared" si="4"/>
        <v>2.4728498791965667</v>
      </c>
      <c r="E42" s="3">
        <f t="shared" si="5"/>
        <v>98.913995167862666</v>
      </c>
      <c r="F42" s="2"/>
      <c r="G42" s="9">
        <v>90</v>
      </c>
      <c r="H42" s="8">
        <v>228</v>
      </c>
      <c r="I42" s="5">
        <f t="shared" si="6"/>
        <v>1.6443691175940284E-3</v>
      </c>
      <c r="J42" s="5">
        <f t="shared" si="7"/>
        <v>2.5158847499188637</v>
      </c>
      <c r="K42" s="3">
        <f t="shared" si="8"/>
        <v>100.63538999675454</v>
      </c>
      <c r="L42" s="2"/>
      <c r="M42" s="7">
        <v>90</v>
      </c>
      <c r="N42" s="6">
        <v>227.8</v>
      </c>
      <c r="O42" s="5">
        <f t="shared" si="9"/>
        <v>1.6429266885435074E-3</v>
      </c>
      <c r="P42" s="5">
        <f t="shared" si="10"/>
        <v>2.5136778334715664</v>
      </c>
      <c r="Q42" s="3">
        <f t="shared" si="11"/>
        <v>100.54711333886266</v>
      </c>
      <c r="R42" s="1"/>
      <c r="S42" s="4">
        <f t="shared" si="1"/>
        <v>100.03216616782663</v>
      </c>
      <c r="T42" s="3">
        <f t="shared" si="2"/>
        <v>0.79148719970800718</v>
      </c>
    </row>
    <row r="43" spans="1:20">
      <c r="A43" s="7">
        <v>120</v>
      </c>
      <c r="B43" s="10">
        <v>223</v>
      </c>
      <c r="C43" s="5">
        <f t="shared" si="3"/>
        <v>1.6083083913310014E-3</v>
      </c>
      <c r="D43" s="5">
        <f t="shared" si="4"/>
        <v>2.4607118387364317</v>
      </c>
      <c r="E43" s="3">
        <f t="shared" si="5"/>
        <v>98.42847354945728</v>
      </c>
      <c r="F43" s="2"/>
      <c r="G43" s="9">
        <v>120</v>
      </c>
      <c r="H43" s="8">
        <v>226.9</v>
      </c>
      <c r="I43" s="5">
        <f t="shared" si="6"/>
        <v>1.6364357578161624E-3</v>
      </c>
      <c r="J43" s="5">
        <f t="shared" si="7"/>
        <v>2.5037467094587282</v>
      </c>
      <c r="K43" s="3">
        <f t="shared" si="8"/>
        <v>100.14986837834914</v>
      </c>
      <c r="L43" s="2"/>
      <c r="M43" s="7">
        <v>120</v>
      </c>
      <c r="N43" s="6">
        <v>227.6</v>
      </c>
      <c r="O43" s="5">
        <f t="shared" si="9"/>
        <v>1.6414842594929863E-3</v>
      </c>
      <c r="P43" s="5">
        <f t="shared" si="10"/>
        <v>2.5114709170242691</v>
      </c>
      <c r="Q43" s="3">
        <f t="shared" si="11"/>
        <v>100.45883668097075</v>
      </c>
      <c r="R43" s="1"/>
      <c r="S43" s="4">
        <f t="shared" si="1"/>
        <v>99.679059536259061</v>
      </c>
      <c r="T43" s="3">
        <f t="shared" si="2"/>
        <v>0.89324850435361247</v>
      </c>
    </row>
    <row r="44" spans="1:20">
      <c r="A44" s="7">
        <v>180</v>
      </c>
      <c r="B44" s="10">
        <v>222.1</v>
      </c>
      <c r="C44" s="5">
        <f t="shared" si="3"/>
        <v>1.6018174606036565E-3</v>
      </c>
      <c r="D44" s="5">
        <f t="shared" si="4"/>
        <v>2.4507807147235945</v>
      </c>
      <c r="E44" s="3">
        <f t="shared" si="5"/>
        <v>98.031228588943776</v>
      </c>
      <c r="F44" s="2"/>
      <c r="G44" s="9">
        <v>180</v>
      </c>
      <c r="H44" s="8">
        <v>226.9</v>
      </c>
      <c r="I44" s="5">
        <f t="shared" si="6"/>
        <v>1.6364357578161624E-3</v>
      </c>
      <c r="J44" s="5">
        <f t="shared" si="7"/>
        <v>2.5037467094587282</v>
      </c>
      <c r="K44" s="3">
        <f t="shared" si="8"/>
        <v>100.14986837834914</v>
      </c>
      <c r="L44" s="2"/>
      <c r="M44" s="7">
        <v>180</v>
      </c>
      <c r="N44" s="6">
        <v>227.3</v>
      </c>
      <c r="O44" s="5">
        <f t="shared" si="9"/>
        <v>1.6393206159172047E-3</v>
      </c>
      <c r="P44" s="5">
        <f t="shared" si="10"/>
        <v>2.5081605423533233</v>
      </c>
      <c r="Q44" s="3">
        <f t="shared" si="11"/>
        <v>100.32642169413293</v>
      </c>
      <c r="R44" s="1"/>
      <c r="S44" s="4">
        <f t="shared" si="1"/>
        <v>99.502506220475269</v>
      </c>
      <c r="T44" s="3">
        <f t="shared" si="2"/>
        <v>1.0428442421609225</v>
      </c>
    </row>
    <row r="45" spans="1:20">
      <c r="A45" s="6">
        <v>360</v>
      </c>
      <c r="B45" s="10">
        <v>222.8</v>
      </c>
      <c r="C45" s="5">
        <f t="shared" si="3"/>
        <v>1.6068659622804804E-3</v>
      </c>
      <c r="D45" s="5">
        <f t="shared" si="4"/>
        <v>2.4585049222891353</v>
      </c>
      <c r="E45" s="3">
        <f t="shared" si="5"/>
        <v>98.340196891565412</v>
      </c>
      <c r="F45" s="2"/>
      <c r="G45" s="22">
        <v>360</v>
      </c>
      <c r="H45" s="8">
        <v>227.1</v>
      </c>
      <c r="I45" s="5">
        <f t="shared" si="6"/>
        <v>1.6378781868666835E-3</v>
      </c>
      <c r="J45" s="5">
        <f t="shared" si="7"/>
        <v>2.5059536259060256</v>
      </c>
      <c r="K45" s="3">
        <f t="shared" si="8"/>
        <v>100.23814503624102</v>
      </c>
      <c r="L45" s="2"/>
      <c r="M45" s="6">
        <v>360</v>
      </c>
      <c r="N45" s="6">
        <v>227</v>
      </c>
      <c r="O45" s="5">
        <f t="shared" si="9"/>
        <v>1.6371569723414229E-3</v>
      </c>
      <c r="P45" s="5">
        <f t="shared" si="10"/>
        <v>2.5048501676823771</v>
      </c>
      <c r="Q45" s="3">
        <f t="shared" si="11"/>
        <v>100.19400670729507</v>
      </c>
      <c r="R45" s="1"/>
      <c r="S45" s="4">
        <f t="shared" si="1"/>
        <v>99.590782878367165</v>
      </c>
      <c r="T45" s="1">
        <f t="shared" si="2"/>
        <v>0.88448140391577423</v>
      </c>
    </row>
    <row r="46" spans="1:20">
      <c r="A46" s="6"/>
      <c r="B46" s="10"/>
      <c r="C46" s="5"/>
      <c r="D46" s="5"/>
      <c r="E46" s="1"/>
      <c r="F46" s="2"/>
      <c r="G46" s="22"/>
      <c r="H46" s="8"/>
      <c r="I46" s="5"/>
      <c r="J46" s="5"/>
      <c r="K46" s="1"/>
      <c r="L46" s="2"/>
      <c r="M46" s="6"/>
      <c r="N46" s="6"/>
      <c r="O46" s="5"/>
      <c r="P46" s="5"/>
      <c r="Q46" s="1"/>
      <c r="R46" s="1"/>
      <c r="S46" s="1"/>
      <c r="T46" s="1"/>
    </row>
    <row r="47" spans="1:20" ht="17" thickBo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14"/>
      <c r="T47" s="14"/>
    </row>
    <row r="48" spans="1:20">
      <c r="A48" s="36" t="s">
        <v>41</v>
      </c>
      <c r="B48" s="37"/>
      <c r="C48" s="18">
        <v>2.5</v>
      </c>
      <c r="D48" s="18"/>
      <c r="E48" s="17"/>
      <c r="F48" s="2"/>
      <c r="G48" s="36" t="s">
        <v>41</v>
      </c>
      <c r="H48" s="37"/>
      <c r="I48" s="18">
        <v>2.5</v>
      </c>
      <c r="J48" s="18"/>
      <c r="K48" s="17"/>
      <c r="L48" s="2"/>
      <c r="M48" s="36" t="s">
        <v>41</v>
      </c>
      <c r="N48" s="37"/>
      <c r="O48" s="18">
        <v>2.5</v>
      </c>
      <c r="P48" s="18"/>
      <c r="Q48" s="17"/>
      <c r="R48" s="6"/>
      <c r="S48" s="14"/>
      <c r="T48" s="14"/>
    </row>
    <row r="49" spans="1:20" ht="17" thickBot="1">
      <c r="A49" s="16" t="s">
        <v>9</v>
      </c>
      <c r="B49" s="15"/>
      <c r="C49" s="6"/>
      <c r="D49" s="6"/>
      <c r="E49" s="11"/>
      <c r="F49" s="2"/>
      <c r="G49" s="16" t="s">
        <v>8</v>
      </c>
      <c r="H49" s="15"/>
      <c r="I49" s="6"/>
      <c r="J49" s="6"/>
      <c r="K49" s="11"/>
      <c r="L49" s="2"/>
      <c r="M49" s="16" t="s">
        <v>7</v>
      </c>
      <c r="N49" s="15"/>
      <c r="O49" s="6"/>
      <c r="P49" s="6"/>
      <c r="Q49" s="11"/>
      <c r="R49" s="6"/>
      <c r="S49" s="14"/>
      <c r="T49" s="14"/>
    </row>
    <row r="50" spans="1:20">
      <c r="A50" s="7" t="s">
        <v>6</v>
      </c>
      <c r="B50" s="6" t="s">
        <v>5</v>
      </c>
      <c r="C50" s="6" t="s">
        <v>4</v>
      </c>
      <c r="D50" s="6" t="s">
        <v>3</v>
      </c>
      <c r="E50" s="11" t="s">
        <v>2</v>
      </c>
      <c r="F50" s="2"/>
      <c r="G50" s="7" t="s">
        <v>6</v>
      </c>
      <c r="H50" s="6" t="s">
        <v>5</v>
      </c>
      <c r="I50" s="6" t="s">
        <v>4</v>
      </c>
      <c r="J50" s="6" t="s">
        <v>3</v>
      </c>
      <c r="K50" s="11" t="s">
        <v>2</v>
      </c>
      <c r="L50" s="2"/>
      <c r="M50" s="7" t="s">
        <v>6</v>
      </c>
      <c r="N50" s="6" t="s">
        <v>5</v>
      </c>
      <c r="O50" s="6" t="s">
        <v>4</v>
      </c>
      <c r="P50" s="6" t="s">
        <v>3</v>
      </c>
      <c r="Q50" s="11" t="s">
        <v>2</v>
      </c>
      <c r="R50" s="6"/>
      <c r="S50" s="13" t="s">
        <v>1</v>
      </c>
      <c r="T50" s="12" t="s">
        <v>0</v>
      </c>
    </row>
    <row r="51" spans="1:20">
      <c r="A51" s="7">
        <v>0</v>
      </c>
      <c r="B51" s="6">
        <v>0</v>
      </c>
      <c r="C51" s="6">
        <v>0</v>
      </c>
      <c r="D51" s="6">
        <v>0</v>
      </c>
      <c r="E51" s="11">
        <v>0</v>
      </c>
      <c r="F51" s="2"/>
      <c r="G51" s="7">
        <v>0</v>
      </c>
      <c r="H51" s="6">
        <v>0</v>
      </c>
      <c r="I51" s="6">
        <f>H51/25144</f>
        <v>0</v>
      </c>
      <c r="J51" s="6">
        <f>I51*900</f>
        <v>0</v>
      </c>
      <c r="K51" s="11">
        <f>J51/100*100</f>
        <v>0</v>
      </c>
      <c r="L51" s="2"/>
      <c r="M51" s="7">
        <v>0</v>
      </c>
      <c r="N51" s="6">
        <v>0</v>
      </c>
      <c r="O51" s="6">
        <f>N51/25144</f>
        <v>0</v>
      </c>
      <c r="P51" s="6">
        <f>O51*900</f>
        <v>0</v>
      </c>
      <c r="Q51" s="11">
        <f>P51/100*100</f>
        <v>0</v>
      </c>
      <c r="R51" s="6"/>
      <c r="S51" s="4">
        <f>AVERAGE(E51,K51,Q51)</f>
        <v>0</v>
      </c>
      <c r="T51" s="3">
        <f>STDEVP(E51,K51,Q51)</f>
        <v>0</v>
      </c>
    </row>
    <row r="52" spans="1:20">
      <c r="A52" s="7">
        <v>5</v>
      </c>
      <c r="B52" s="6">
        <v>12</v>
      </c>
      <c r="C52" s="5">
        <f>B52/138655</f>
        <v>8.6545743031264655E-5</v>
      </c>
      <c r="D52" s="5">
        <f>C52*900</f>
        <v>7.7891168728138185E-2</v>
      </c>
      <c r="E52" s="3">
        <f>D52/2.5*100</f>
        <v>3.1156467491255273</v>
      </c>
      <c r="F52" s="2"/>
      <c r="G52" s="7">
        <v>5</v>
      </c>
      <c r="H52" s="6">
        <v>12.4</v>
      </c>
      <c r="I52" s="5">
        <f>H52/138655</f>
        <v>8.9430601132306804E-5</v>
      </c>
      <c r="J52" s="5">
        <f>I52*900</f>
        <v>8.0487541019076125E-2</v>
      </c>
      <c r="K52" s="3">
        <f>J52/2.5*100</f>
        <v>3.219501640763045</v>
      </c>
      <c r="L52" s="2"/>
      <c r="M52" s="7">
        <v>5</v>
      </c>
      <c r="N52" s="6">
        <v>18.899999999999999</v>
      </c>
      <c r="O52" s="5">
        <f>N52/138655</f>
        <v>1.3630954527424181E-4</v>
      </c>
      <c r="P52" s="5">
        <f>O52*900</f>
        <v>0.12267859074681764</v>
      </c>
      <c r="Q52" s="3">
        <f>P52/2.5*100</f>
        <v>4.9071436298727056</v>
      </c>
      <c r="R52" s="1"/>
      <c r="S52" s="4">
        <f>AVERAGE(E52,K52,Q52)</f>
        <v>3.7474306732537594</v>
      </c>
      <c r="T52" s="3">
        <f>STDEVP(E52,K52,Q52)</f>
        <v>0.82113623146696479</v>
      </c>
    </row>
    <row r="53" spans="1:20">
      <c r="A53" s="7">
        <v>15</v>
      </c>
      <c r="B53" s="6">
        <v>18.3</v>
      </c>
      <c r="C53" s="5">
        <f t="shared" ref="C53:C61" si="12">B53/138655</f>
        <v>1.3198225812267858E-4</v>
      </c>
      <c r="D53" s="5">
        <f t="shared" ref="D53:D61" si="13">C53*900</f>
        <v>0.11878403231041072</v>
      </c>
      <c r="E53" s="3">
        <f t="shared" ref="E53:E61" si="14">D53/2.5*100</f>
        <v>4.751361292416429</v>
      </c>
      <c r="F53" s="2"/>
      <c r="G53" s="7">
        <v>15</v>
      </c>
      <c r="H53" s="6">
        <v>18.3</v>
      </c>
      <c r="I53" s="5">
        <f t="shared" ref="I53:I61" si="15">H53/138655</f>
        <v>1.3198225812267858E-4</v>
      </c>
      <c r="J53" s="5">
        <f t="shared" ref="J53:J61" si="16">I53*900</f>
        <v>0.11878403231041072</v>
      </c>
      <c r="K53" s="3">
        <f t="shared" ref="K53:K61" si="17">J53/2.5*100</f>
        <v>4.751361292416429</v>
      </c>
      <c r="L53" s="2"/>
      <c r="M53" s="7">
        <v>15</v>
      </c>
      <c r="N53" s="6">
        <v>24</v>
      </c>
      <c r="O53" s="5">
        <f t="shared" ref="O53:O61" si="18">N53/138655</f>
        <v>1.7309148606252931E-4</v>
      </c>
      <c r="P53" s="5">
        <f t="shared" ref="P53:P61" si="19">O53*900</f>
        <v>0.15578233745627637</v>
      </c>
      <c r="Q53" s="3">
        <f t="shared" ref="Q53:Q61" si="20">P53/2.5*100</f>
        <v>6.2312934982510546</v>
      </c>
      <c r="R53" s="1"/>
      <c r="S53" s="4">
        <f t="shared" ref="S53:S61" si="21">AVERAGE(E53,K53,Q53)</f>
        <v>5.2446720276946373</v>
      </c>
      <c r="T53" s="3">
        <f t="shared" ref="T53:T61" si="22">STDEVP(E53,K53,Q53)</f>
        <v>0.6976467322946891</v>
      </c>
    </row>
    <row r="54" spans="1:20">
      <c r="A54" s="7">
        <v>30</v>
      </c>
      <c r="B54" s="6">
        <v>24.8</v>
      </c>
      <c r="C54" s="5">
        <f t="shared" si="12"/>
        <v>1.7886120226461361E-4</v>
      </c>
      <c r="D54" s="5">
        <f t="shared" si="13"/>
        <v>0.16097508203815225</v>
      </c>
      <c r="E54" s="3">
        <f t="shared" si="14"/>
        <v>6.43900328152609</v>
      </c>
      <c r="F54" s="2"/>
      <c r="G54" s="7">
        <v>30</v>
      </c>
      <c r="H54" s="6">
        <v>25.2</v>
      </c>
      <c r="I54" s="5">
        <f t="shared" si="15"/>
        <v>1.8174606036565577E-4</v>
      </c>
      <c r="J54" s="5">
        <f t="shared" si="16"/>
        <v>0.1635714543290902</v>
      </c>
      <c r="K54" s="3">
        <f t="shared" si="17"/>
        <v>6.5428581731636086</v>
      </c>
      <c r="L54" s="2"/>
      <c r="M54" s="7">
        <v>30</v>
      </c>
      <c r="N54" s="6">
        <v>40.1</v>
      </c>
      <c r="O54" s="5">
        <f t="shared" si="18"/>
        <v>2.8920702462947607E-4</v>
      </c>
      <c r="P54" s="5">
        <f t="shared" si="19"/>
        <v>0.26028632216652847</v>
      </c>
      <c r="Q54" s="3">
        <f t="shared" si="20"/>
        <v>10.41145288666114</v>
      </c>
      <c r="R54" s="1"/>
      <c r="S54" s="4">
        <f t="shared" si="21"/>
        <v>7.7977714471169461</v>
      </c>
      <c r="T54" s="3">
        <f t="shared" si="22"/>
        <v>1.8486381402161296</v>
      </c>
    </row>
    <row r="55" spans="1:20">
      <c r="A55" s="7">
        <v>45</v>
      </c>
      <c r="B55" s="6">
        <v>29.1</v>
      </c>
      <c r="C55" s="5">
        <f t="shared" si="12"/>
        <v>2.0987342685081678E-4</v>
      </c>
      <c r="D55" s="5">
        <f t="shared" si="13"/>
        <v>0.1888860841657351</v>
      </c>
      <c r="E55" s="3">
        <f t="shared" si="14"/>
        <v>7.5554433666294036</v>
      </c>
      <c r="F55" s="2"/>
      <c r="G55" s="7">
        <v>45</v>
      </c>
      <c r="H55" s="6">
        <v>30.3</v>
      </c>
      <c r="I55" s="5">
        <f t="shared" si="15"/>
        <v>2.1852800115394324E-4</v>
      </c>
      <c r="J55" s="5">
        <f t="shared" si="16"/>
        <v>0.19667520103854891</v>
      </c>
      <c r="K55" s="3">
        <f t="shared" si="17"/>
        <v>7.8670080415419559</v>
      </c>
      <c r="L55" s="2"/>
      <c r="M55" s="7">
        <v>45</v>
      </c>
      <c r="N55" s="6">
        <v>55.2</v>
      </c>
      <c r="O55" s="5">
        <f t="shared" si="18"/>
        <v>3.9811041794381743E-4</v>
      </c>
      <c r="P55" s="5">
        <f t="shared" si="19"/>
        <v>0.35829937614943569</v>
      </c>
      <c r="Q55" s="3">
        <f t="shared" si="20"/>
        <v>14.331975045977426</v>
      </c>
      <c r="R55" s="1"/>
      <c r="S55" s="4">
        <f t="shared" si="21"/>
        <v>9.9181421513829289</v>
      </c>
      <c r="T55" s="3">
        <f t="shared" si="22"/>
        <v>3.1236419718779844</v>
      </c>
    </row>
    <row r="56" spans="1:20">
      <c r="A56" s="7">
        <v>60</v>
      </c>
      <c r="B56" s="6">
        <v>34.1</v>
      </c>
      <c r="C56" s="5">
        <f t="shared" si="12"/>
        <v>2.4593415311384371E-4</v>
      </c>
      <c r="D56" s="5">
        <f t="shared" si="13"/>
        <v>0.22134073780245933</v>
      </c>
      <c r="E56" s="3">
        <f t="shared" si="14"/>
        <v>8.8536295120983741</v>
      </c>
      <c r="F56" s="2"/>
      <c r="G56" s="7">
        <v>60</v>
      </c>
      <c r="H56" s="6">
        <v>34.9</v>
      </c>
      <c r="I56" s="5">
        <f t="shared" si="15"/>
        <v>2.5170386931592804E-4</v>
      </c>
      <c r="J56" s="5">
        <f t="shared" si="16"/>
        <v>0.22653348238433524</v>
      </c>
      <c r="K56" s="3">
        <f t="shared" si="17"/>
        <v>9.0613392953734095</v>
      </c>
      <c r="L56" s="2"/>
      <c r="M56" s="7">
        <v>60</v>
      </c>
      <c r="N56" s="6">
        <v>68.7</v>
      </c>
      <c r="O56" s="5">
        <f t="shared" si="18"/>
        <v>4.9547437885399015E-4</v>
      </c>
      <c r="P56" s="5">
        <f t="shared" si="19"/>
        <v>0.44592694096859115</v>
      </c>
      <c r="Q56" s="3">
        <f t="shared" si="20"/>
        <v>17.837077638743644</v>
      </c>
      <c r="R56" s="1"/>
      <c r="S56" s="4">
        <f t="shared" si="21"/>
        <v>11.917348815405143</v>
      </c>
      <c r="T56" s="3">
        <f t="shared" si="22"/>
        <v>4.186739212077061</v>
      </c>
    </row>
    <row r="57" spans="1:20">
      <c r="A57" s="7">
        <v>75</v>
      </c>
      <c r="B57" s="6">
        <v>35.9</v>
      </c>
      <c r="C57" s="5">
        <f t="shared" si="12"/>
        <v>2.5891601456853338E-4</v>
      </c>
      <c r="D57" s="5">
        <f t="shared" si="13"/>
        <v>0.23302441311168004</v>
      </c>
      <c r="E57" s="3">
        <f t="shared" si="14"/>
        <v>9.320976524467202</v>
      </c>
      <c r="F57" s="2"/>
      <c r="G57" s="7">
        <v>75</v>
      </c>
      <c r="H57" s="6">
        <v>37.700000000000003</v>
      </c>
      <c r="I57" s="5">
        <f t="shared" si="15"/>
        <v>2.7189787602322315E-4</v>
      </c>
      <c r="J57" s="5">
        <f t="shared" si="16"/>
        <v>0.24470808842090083</v>
      </c>
      <c r="K57" s="3">
        <f t="shared" si="17"/>
        <v>9.7883235368360335</v>
      </c>
      <c r="L57" s="2"/>
      <c r="M57" s="7">
        <v>75</v>
      </c>
      <c r="N57" s="6">
        <v>77</v>
      </c>
      <c r="O57" s="5">
        <f t="shared" si="18"/>
        <v>5.5533518445061484E-4</v>
      </c>
      <c r="P57" s="5">
        <f t="shared" si="19"/>
        <v>0.49980166600555337</v>
      </c>
      <c r="Q57" s="3">
        <f t="shared" si="20"/>
        <v>19.992066640222134</v>
      </c>
      <c r="R57" s="1"/>
      <c r="S57" s="4">
        <f t="shared" si="21"/>
        <v>13.033788900508457</v>
      </c>
      <c r="T57" s="3">
        <f t="shared" si="22"/>
        <v>4.9239432121514595</v>
      </c>
    </row>
    <row r="58" spans="1:20">
      <c r="A58" s="7">
        <v>90</v>
      </c>
      <c r="B58" s="6">
        <v>38.9</v>
      </c>
      <c r="C58" s="5">
        <f t="shared" si="12"/>
        <v>2.8055245032634955E-4</v>
      </c>
      <c r="D58" s="5">
        <f t="shared" si="13"/>
        <v>0.25249720529371461</v>
      </c>
      <c r="E58" s="3">
        <f t="shared" si="14"/>
        <v>10.099888211748583</v>
      </c>
      <c r="F58" s="2"/>
      <c r="G58" s="7">
        <v>90</v>
      </c>
      <c r="H58" s="6">
        <v>40.200000000000003</v>
      </c>
      <c r="I58" s="5">
        <f t="shared" si="15"/>
        <v>2.899282391547366E-4</v>
      </c>
      <c r="J58" s="5">
        <f t="shared" si="16"/>
        <v>0.26093541523926295</v>
      </c>
      <c r="K58" s="3">
        <f t="shared" si="17"/>
        <v>10.437416609570519</v>
      </c>
      <c r="L58" s="2"/>
      <c r="M58" s="7">
        <v>90</v>
      </c>
      <c r="N58" s="6">
        <v>82.5</v>
      </c>
      <c r="O58" s="5">
        <f t="shared" si="18"/>
        <v>5.9500198333994447E-4</v>
      </c>
      <c r="P58" s="5">
        <f t="shared" si="19"/>
        <v>0.53550178500595003</v>
      </c>
      <c r="Q58" s="3">
        <f t="shared" si="20"/>
        <v>21.420071400238001</v>
      </c>
      <c r="R58" s="1"/>
      <c r="S58" s="4">
        <f t="shared" si="21"/>
        <v>13.985792073852368</v>
      </c>
      <c r="T58" s="3">
        <f t="shared" si="22"/>
        <v>5.2586350055172879</v>
      </c>
    </row>
    <row r="59" spans="1:20">
      <c r="A59" s="7">
        <v>120</v>
      </c>
      <c r="B59" s="10">
        <v>43.5</v>
      </c>
      <c r="C59" s="5">
        <f t="shared" si="12"/>
        <v>3.1372831848833438E-4</v>
      </c>
      <c r="D59" s="5">
        <f t="shared" si="13"/>
        <v>0.28235548663950094</v>
      </c>
      <c r="E59" s="3">
        <f t="shared" si="14"/>
        <v>11.294219465580039</v>
      </c>
      <c r="F59" s="2"/>
      <c r="G59" s="9">
        <v>120</v>
      </c>
      <c r="H59" s="8">
        <v>45.9</v>
      </c>
      <c r="I59" s="5">
        <f t="shared" si="15"/>
        <v>3.310374670945873E-4</v>
      </c>
      <c r="J59" s="5">
        <f t="shared" si="16"/>
        <v>0.29793372038512855</v>
      </c>
      <c r="K59" s="3">
        <f t="shared" si="17"/>
        <v>11.917348815405141</v>
      </c>
      <c r="L59" s="2"/>
      <c r="M59" s="7">
        <v>120</v>
      </c>
      <c r="N59" s="6">
        <v>94.8</v>
      </c>
      <c r="O59" s="5">
        <f t="shared" si="18"/>
        <v>6.8371136994699073E-4</v>
      </c>
      <c r="P59" s="5">
        <f t="shared" si="19"/>
        <v>0.61534023295229168</v>
      </c>
      <c r="Q59" s="3">
        <f t="shared" si="20"/>
        <v>24.613609318091669</v>
      </c>
      <c r="R59" s="1"/>
      <c r="S59" s="4">
        <f t="shared" si="21"/>
        <v>15.941725866358951</v>
      </c>
      <c r="T59" s="3">
        <f t="shared" si="22"/>
        <v>6.1372221999305268</v>
      </c>
    </row>
    <row r="60" spans="1:20">
      <c r="A60" s="7">
        <v>180</v>
      </c>
      <c r="B60" s="10">
        <v>50.9</v>
      </c>
      <c r="C60" s="5">
        <f t="shared" si="12"/>
        <v>3.6709819335761421E-4</v>
      </c>
      <c r="D60" s="5">
        <f t="shared" si="13"/>
        <v>0.33038837402185278</v>
      </c>
      <c r="E60" s="3">
        <f t="shared" si="14"/>
        <v>13.215534960874113</v>
      </c>
      <c r="F60" s="2"/>
      <c r="G60" s="9">
        <v>180</v>
      </c>
      <c r="H60" s="8">
        <v>51</v>
      </c>
      <c r="I60" s="5">
        <f t="shared" si="15"/>
        <v>3.6781940788287474E-4</v>
      </c>
      <c r="J60" s="5">
        <f t="shared" si="16"/>
        <v>0.33103746709458726</v>
      </c>
      <c r="K60" s="3">
        <f t="shared" si="17"/>
        <v>13.24149868378349</v>
      </c>
      <c r="L60" s="2"/>
      <c r="M60" s="7">
        <v>180</v>
      </c>
      <c r="N60" s="6">
        <v>116.9</v>
      </c>
      <c r="O60" s="5">
        <f t="shared" si="18"/>
        <v>8.4309978002956984E-4</v>
      </c>
      <c r="P60" s="5">
        <f t="shared" si="19"/>
        <v>0.75878980202661284</v>
      </c>
      <c r="Q60" s="3">
        <f t="shared" si="20"/>
        <v>30.351592081064517</v>
      </c>
      <c r="R60" s="1"/>
      <c r="S60" s="4">
        <f t="shared" si="21"/>
        <v>18.936208575240709</v>
      </c>
      <c r="T60" s="3">
        <f t="shared" si="22"/>
        <v>8.0719020462962536</v>
      </c>
    </row>
    <row r="61" spans="1:20">
      <c r="A61" s="9">
        <v>360</v>
      </c>
      <c r="B61" s="22">
        <v>65.7</v>
      </c>
      <c r="C61" s="5">
        <f t="shared" si="12"/>
        <v>4.7383794309617397E-4</v>
      </c>
      <c r="D61" s="5">
        <f t="shared" si="13"/>
        <v>0.42645414878655657</v>
      </c>
      <c r="E61" s="3">
        <f t="shared" si="14"/>
        <v>17.058165951462261</v>
      </c>
      <c r="G61" s="9">
        <v>360</v>
      </c>
      <c r="H61" s="22">
        <v>68.7</v>
      </c>
      <c r="I61" s="5">
        <f t="shared" si="15"/>
        <v>4.9547437885399015E-4</v>
      </c>
      <c r="J61" s="5">
        <f t="shared" si="16"/>
        <v>0.44592694096859115</v>
      </c>
      <c r="K61" s="3">
        <f t="shared" si="17"/>
        <v>17.837077638743644</v>
      </c>
      <c r="M61" s="9">
        <v>360</v>
      </c>
      <c r="N61" s="22">
        <v>139.30000000000001</v>
      </c>
      <c r="O61" s="5">
        <f t="shared" si="18"/>
        <v>1.0046518336879306E-3</v>
      </c>
      <c r="P61" s="5">
        <f t="shared" si="19"/>
        <v>0.90418665031913759</v>
      </c>
      <c r="Q61" s="3">
        <f t="shared" si="20"/>
        <v>36.167466012765502</v>
      </c>
      <c r="S61" s="25">
        <f t="shared" si="21"/>
        <v>23.687569867657135</v>
      </c>
      <c r="T61" s="24">
        <f t="shared" si="22"/>
        <v>8.8303466031884916</v>
      </c>
    </row>
    <row r="64" spans="1:20">
      <c r="B64" t="s">
        <v>14</v>
      </c>
      <c r="C64" t="s">
        <v>10</v>
      </c>
    </row>
    <row r="65" spans="1:3">
      <c r="A65" t="s">
        <v>19</v>
      </c>
      <c r="B65">
        <v>42.57</v>
      </c>
      <c r="C65">
        <v>81</v>
      </c>
    </row>
    <row r="66" spans="1:3">
      <c r="B66">
        <v>62.43</v>
      </c>
      <c r="C66">
        <v>101.4</v>
      </c>
    </row>
    <row r="67" spans="1:3">
      <c r="B67">
        <v>66.98</v>
      </c>
      <c r="C67">
        <v>85.57</v>
      </c>
    </row>
    <row r="69" spans="1:3">
      <c r="A69" t="s">
        <v>20</v>
      </c>
      <c r="B69">
        <f>_xlfn.T.TEST(B65:B67,C65:C67,2,2)</f>
        <v>3.0108439981409336E-2</v>
      </c>
    </row>
  </sheetData>
  <mergeCells count="6">
    <mergeCell ref="A32:B32"/>
    <mergeCell ref="G32:H32"/>
    <mergeCell ref="M32:N32"/>
    <mergeCell ref="A48:B48"/>
    <mergeCell ref="G48:H48"/>
    <mergeCell ref="M48:N48"/>
  </mergeCells>
  <pageMargins left="0.7" right="0.7" top="0.75" bottom="0.75" header="0.3" footer="0.3"/>
  <pageSetup paperSize="9" orientation="portrait" horizontalDpi="0" verticalDpi="0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B493C-DF10-B447-888E-C5C197DC2E5D}">
  <dimension ref="A1:V91"/>
  <sheetViews>
    <sheetView topLeftCell="A30" workbookViewId="0">
      <selection activeCell="D57" sqref="D57"/>
    </sheetView>
  </sheetViews>
  <sheetFormatPr baseColWidth="10" defaultRowHeight="16"/>
  <cols>
    <col min="2" max="2" width="21" customWidth="1"/>
    <col min="3" max="3" width="11.1640625" bestFit="1" customWidth="1"/>
  </cols>
  <sheetData>
    <row r="1" spans="1:3">
      <c r="A1" t="s">
        <v>18</v>
      </c>
      <c r="C1">
        <v>136.80000000000001</v>
      </c>
    </row>
    <row r="2" spans="1:3">
      <c r="A2" t="s">
        <v>17</v>
      </c>
      <c r="B2" t="s">
        <v>16</v>
      </c>
      <c r="C2">
        <v>137.69999999999999</v>
      </c>
    </row>
    <row r="3" spans="1:3">
      <c r="A3" s="19">
        <v>5.0000000000000001E-4</v>
      </c>
      <c r="B3" s="20">
        <f>AVERAGE(C1:C3)</f>
        <v>137.4</v>
      </c>
      <c r="C3">
        <v>137.69999999999999</v>
      </c>
    </row>
    <row r="4" spans="1:3">
      <c r="A4" s="19">
        <v>1E-3</v>
      </c>
      <c r="B4">
        <v>279.2</v>
      </c>
    </row>
    <row r="5" spans="1:3">
      <c r="A5" s="19">
        <v>0.01</v>
      </c>
      <c r="B5" s="21">
        <v>2663.6</v>
      </c>
    </row>
    <row r="6" spans="1:3">
      <c r="A6" s="19">
        <v>0.05</v>
      </c>
      <c r="B6" s="21">
        <v>13887.8</v>
      </c>
    </row>
    <row r="7" spans="1:3">
      <c r="A7" s="19">
        <v>0.1</v>
      </c>
      <c r="B7" s="21">
        <v>27729.599999999999</v>
      </c>
    </row>
    <row r="9" spans="1:3">
      <c r="A9" t="s">
        <v>0</v>
      </c>
      <c r="B9" t="s">
        <v>15</v>
      </c>
    </row>
    <row r="10" spans="1:3">
      <c r="A10">
        <f>STDEV(C1:C3)</f>
        <v>0.51961524227065004</v>
      </c>
      <c r="B10">
        <f>3*A10/26064</f>
        <v>5.9808384239255296E-5</v>
      </c>
    </row>
    <row r="16" spans="1:3">
      <c r="A16" t="s">
        <v>26</v>
      </c>
      <c r="B16" t="s">
        <v>27</v>
      </c>
    </row>
    <row r="17" spans="1:20">
      <c r="A17" t="s">
        <v>22</v>
      </c>
      <c r="B17" t="s">
        <v>42</v>
      </c>
    </row>
    <row r="18" spans="1:20">
      <c r="A18" t="s">
        <v>23</v>
      </c>
      <c r="B18" t="s">
        <v>43</v>
      </c>
    </row>
    <row r="19" spans="1:20">
      <c r="A19" t="s">
        <v>24</v>
      </c>
      <c r="B19" t="s">
        <v>28</v>
      </c>
    </row>
    <row r="20" spans="1:20">
      <c r="A20" t="s">
        <v>25</v>
      </c>
      <c r="B20" t="s">
        <v>29</v>
      </c>
    </row>
    <row r="21" spans="1:20">
      <c r="A21" t="s">
        <v>30</v>
      </c>
      <c r="B21" t="s">
        <v>44</v>
      </c>
    </row>
    <row r="24" spans="1:20">
      <c r="A24" t="s">
        <v>35</v>
      </c>
      <c r="B24" t="s">
        <v>31</v>
      </c>
    </row>
    <row r="25" spans="1:20">
      <c r="A25" t="s">
        <v>16</v>
      </c>
      <c r="B25" t="s">
        <v>21</v>
      </c>
    </row>
    <row r="26" spans="1:20">
      <c r="A26">
        <v>12113.1</v>
      </c>
      <c r="B26">
        <f>A26/138655</f>
        <v>8.7361436659334324E-2</v>
      </c>
    </row>
    <row r="27" spans="1:20">
      <c r="A27">
        <v>13591.5</v>
      </c>
      <c r="B27">
        <f t="shared" ref="B27:B28" si="0">A27/138655</f>
        <v>9.8023872200786122E-2</v>
      </c>
    </row>
    <row r="28" spans="1:20">
      <c r="A28">
        <v>11870</v>
      </c>
      <c r="B28">
        <f t="shared" si="0"/>
        <v>8.5608164148425953E-2</v>
      </c>
    </row>
    <row r="29" spans="1:20">
      <c r="B29">
        <f>AVERAGE(B26:B28)</f>
        <v>9.0331157669515452E-2</v>
      </c>
    </row>
    <row r="31" spans="1:20" ht="17" thickBot="1"/>
    <row r="32" spans="1:20">
      <c r="A32" s="36" t="s">
        <v>45</v>
      </c>
      <c r="B32" s="37"/>
      <c r="C32" s="18">
        <v>1.25</v>
      </c>
      <c r="D32" s="18"/>
      <c r="E32" s="17"/>
      <c r="F32" s="2"/>
      <c r="G32" s="36" t="s">
        <v>45</v>
      </c>
      <c r="H32" s="37"/>
      <c r="I32" s="18">
        <v>1.25</v>
      </c>
      <c r="J32" s="18"/>
      <c r="K32" s="17"/>
      <c r="L32" s="2"/>
      <c r="M32" s="36" t="s">
        <v>45</v>
      </c>
      <c r="N32" s="37"/>
      <c r="O32" s="18">
        <v>1.25</v>
      </c>
      <c r="P32" s="18"/>
      <c r="Q32" s="17"/>
      <c r="R32" s="6"/>
      <c r="S32" s="2"/>
      <c r="T32" s="2"/>
    </row>
    <row r="33" spans="1:22" ht="17" thickBot="1">
      <c r="A33" s="16" t="s">
        <v>13</v>
      </c>
      <c r="B33" s="15"/>
      <c r="C33" s="6"/>
      <c r="D33" s="6"/>
      <c r="E33" s="11"/>
      <c r="F33" s="2"/>
      <c r="G33" s="16" t="s">
        <v>12</v>
      </c>
      <c r="H33" s="15"/>
      <c r="I33" s="6"/>
      <c r="J33" s="6"/>
      <c r="K33" s="11"/>
      <c r="L33" s="2"/>
      <c r="M33" s="16" t="s">
        <v>11</v>
      </c>
      <c r="N33" s="15"/>
      <c r="O33" s="6"/>
      <c r="P33" s="6"/>
      <c r="Q33" s="11"/>
      <c r="R33" s="6"/>
      <c r="S33" s="2"/>
      <c r="T33" s="2"/>
    </row>
    <row r="34" spans="1:22">
      <c r="A34" s="7" t="s">
        <v>6</v>
      </c>
      <c r="B34" s="6" t="s">
        <v>5</v>
      </c>
      <c r="C34" s="6" t="s">
        <v>4</v>
      </c>
      <c r="D34" s="6" t="s">
        <v>3</v>
      </c>
      <c r="E34" s="11" t="s">
        <v>2</v>
      </c>
      <c r="F34" s="2"/>
      <c r="G34" s="7" t="s">
        <v>6</v>
      </c>
      <c r="H34" s="6" t="s">
        <v>5</v>
      </c>
      <c r="I34" s="6" t="s">
        <v>4</v>
      </c>
      <c r="J34" s="6" t="s">
        <v>3</v>
      </c>
      <c r="K34" s="11" t="s">
        <v>2</v>
      </c>
      <c r="L34" s="2"/>
      <c r="M34" s="7" t="s">
        <v>6</v>
      </c>
      <c r="N34" s="6" t="s">
        <v>5</v>
      </c>
      <c r="O34" s="6" t="s">
        <v>4</v>
      </c>
      <c r="P34" s="6" t="s">
        <v>3</v>
      </c>
      <c r="Q34" s="11" t="s">
        <v>2</v>
      </c>
      <c r="R34" s="6"/>
      <c r="S34" s="13" t="s">
        <v>1</v>
      </c>
      <c r="T34" s="12" t="s">
        <v>0</v>
      </c>
      <c r="V34" s="22" t="s">
        <v>71</v>
      </c>
    </row>
    <row r="35" spans="1:22">
      <c r="A35" s="7">
        <v>0</v>
      </c>
      <c r="B35" s="10">
        <v>0</v>
      </c>
      <c r="C35" s="5">
        <v>0</v>
      </c>
      <c r="D35" s="5">
        <v>0</v>
      </c>
      <c r="E35" s="3">
        <v>0</v>
      </c>
      <c r="F35" s="2"/>
      <c r="G35" s="7">
        <v>0</v>
      </c>
      <c r="H35" s="10">
        <v>0</v>
      </c>
      <c r="I35" s="5">
        <v>0</v>
      </c>
      <c r="J35" s="5">
        <v>0</v>
      </c>
      <c r="K35" s="3">
        <v>0</v>
      </c>
      <c r="L35" s="2"/>
      <c r="M35" s="7">
        <v>0</v>
      </c>
      <c r="N35" s="10">
        <v>0</v>
      </c>
      <c r="O35" s="5">
        <f>N35/25144</f>
        <v>0</v>
      </c>
      <c r="P35" s="5">
        <f>O35*900</f>
        <v>0</v>
      </c>
      <c r="Q35" s="3">
        <f>P35/6.1*100</f>
        <v>0</v>
      </c>
      <c r="R35" s="1"/>
      <c r="S35" s="4">
        <f t="shared" ref="S35:S45" si="1">AVERAGE(E35,K35,Q35)</f>
        <v>0</v>
      </c>
      <c r="T35" s="3">
        <f t="shared" ref="T35:T45" si="2">STDEVP(E35,K35,Q35)</f>
        <v>0</v>
      </c>
    </row>
    <row r="36" spans="1:22">
      <c r="A36" s="7">
        <v>5</v>
      </c>
      <c r="B36" s="10">
        <v>21.6</v>
      </c>
      <c r="C36" s="5">
        <f>B36/277301</f>
        <v>7.789369674108641E-5</v>
      </c>
      <c r="D36" s="5">
        <f>C36*450</f>
        <v>3.5052163533488882E-2</v>
      </c>
      <c r="E36" s="3">
        <f>D36/1.25*100</f>
        <v>2.8041730826791107</v>
      </c>
      <c r="F36" s="2"/>
      <c r="G36" s="7">
        <v>5</v>
      </c>
      <c r="H36" s="10">
        <v>27.6</v>
      </c>
      <c r="I36" s="5">
        <f>H36/277301</f>
        <v>9.9530834724721517E-5</v>
      </c>
      <c r="J36" s="5">
        <f>I36*450</f>
        <v>4.4788875626124686E-2</v>
      </c>
      <c r="K36" s="3">
        <f>J36/1.25*100</f>
        <v>3.5831100500899749</v>
      </c>
      <c r="L36" s="2"/>
      <c r="M36" s="7">
        <v>5</v>
      </c>
      <c r="N36" s="10">
        <v>7.5</v>
      </c>
      <c r="O36" s="5">
        <f>N36/277301</f>
        <v>2.7046422479543891E-5</v>
      </c>
      <c r="P36" s="5">
        <f>O36*450</f>
        <v>1.2170890115794751E-2</v>
      </c>
      <c r="Q36" s="3">
        <f>P36/1.25*100</f>
        <v>0.97367120926357997</v>
      </c>
      <c r="R36" s="1"/>
      <c r="S36" s="4">
        <f t="shared" si="1"/>
        <v>2.4536514473442219</v>
      </c>
      <c r="T36" s="3">
        <f t="shared" si="2"/>
        <v>1.0937525096753624</v>
      </c>
      <c r="V36">
        <f>T36/S36</f>
        <v>0.44576523322382072</v>
      </c>
    </row>
    <row r="37" spans="1:22">
      <c r="A37" s="7">
        <v>15</v>
      </c>
      <c r="B37" s="10">
        <v>23.6</v>
      </c>
      <c r="C37" s="5">
        <f t="shared" ref="C37:C45" si="3">B37/277301</f>
        <v>8.5106076068964775E-5</v>
      </c>
      <c r="D37" s="5">
        <f t="shared" ref="D37:D45" si="4">C37*450</f>
        <v>3.829773423103415E-2</v>
      </c>
      <c r="E37" s="3">
        <f t="shared" ref="E37:E45" si="5">D37/1.25*100</f>
        <v>3.0638187384827322</v>
      </c>
      <c r="F37" s="2"/>
      <c r="G37" s="7">
        <v>15</v>
      </c>
      <c r="H37" s="6">
        <v>27.2</v>
      </c>
      <c r="I37" s="5">
        <f t="shared" ref="I37:I45" si="6">H37/277301</f>
        <v>9.8088358859145836E-5</v>
      </c>
      <c r="J37" s="5">
        <f t="shared" ref="J37:J45" si="7">I37*450</f>
        <v>4.4139761486615629E-2</v>
      </c>
      <c r="K37" s="3">
        <f t="shared" ref="K37:K45" si="8">J37/1.25*100</f>
        <v>3.5311809189292505</v>
      </c>
      <c r="L37" s="2"/>
      <c r="M37" s="7">
        <v>15</v>
      </c>
      <c r="N37" s="6">
        <v>15.1</v>
      </c>
      <c r="O37" s="5">
        <f t="shared" ref="O37:O45" si="9">N37/277301</f>
        <v>5.4453463925481698E-5</v>
      </c>
      <c r="P37" s="5">
        <f t="shared" ref="P37:P45" si="10">O37*450</f>
        <v>2.4504058766466764E-2</v>
      </c>
      <c r="Q37" s="3">
        <f t="shared" ref="Q37:Q45" si="11">P37/1.25*100</f>
        <v>1.960324701317341</v>
      </c>
      <c r="R37" s="1"/>
      <c r="S37" s="4">
        <f t="shared" si="1"/>
        <v>2.8517747862431073</v>
      </c>
      <c r="T37" s="3">
        <f t="shared" si="2"/>
        <v>0.6585941048240832</v>
      </c>
      <c r="V37">
        <f t="shared" ref="V37:V45" si="12">T37/S37</f>
        <v>0.23094183594059575</v>
      </c>
    </row>
    <row r="38" spans="1:22">
      <c r="A38" s="7">
        <v>30</v>
      </c>
      <c r="B38" s="10">
        <v>25.6</v>
      </c>
      <c r="C38" s="5">
        <f t="shared" si="3"/>
        <v>9.2318455396843153E-5</v>
      </c>
      <c r="D38" s="5">
        <f t="shared" si="4"/>
        <v>4.1543304928579418E-2</v>
      </c>
      <c r="E38" s="3">
        <f t="shared" si="5"/>
        <v>3.3234643942863533</v>
      </c>
      <c r="F38" s="2"/>
      <c r="G38" s="7">
        <v>30</v>
      </c>
      <c r="H38" s="6">
        <v>32.1</v>
      </c>
      <c r="I38" s="5">
        <f t="shared" si="6"/>
        <v>1.1575868821244784E-4</v>
      </c>
      <c r="J38" s="5">
        <f t="shared" si="7"/>
        <v>5.2091409695601533E-2</v>
      </c>
      <c r="K38" s="3">
        <f t="shared" si="8"/>
        <v>4.1673127756481225</v>
      </c>
      <c r="L38" s="2"/>
      <c r="M38" s="7">
        <v>30</v>
      </c>
      <c r="N38" s="6">
        <v>28</v>
      </c>
      <c r="O38" s="5">
        <f t="shared" si="9"/>
        <v>1.0097331059029718E-4</v>
      </c>
      <c r="P38" s="5">
        <f t="shared" si="10"/>
        <v>4.5437989765633735E-2</v>
      </c>
      <c r="Q38" s="3">
        <f t="shared" si="11"/>
        <v>3.6350391812506988</v>
      </c>
      <c r="R38" s="1"/>
      <c r="S38" s="4">
        <f t="shared" si="1"/>
        <v>3.7086054503950585</v>
      </c>
      <c r="T38" s="3">
        <f t="shared" si="2"/>
        <v>0.34840495561782198</v>
      </c>
      <c r="V38">
        <f t="shared" si="12"/>
        <v>9.3945004470806726E-2</v>
      </c>
    </row>
    <row r="39" spans="1:22">
      <c r="A39" s="7">
        <v>45</v>
      </c>
      <c r="B39" s="10">
        <v>34.6</v>
      </c>
      <c r="C39" s="5">
        <f t="shared" si="3"/>
        <v>1.2477416237229581E-4</v>
      </c>
      <c r="D39" s="5">
        <f t="shared" si="4"/>
        <v>5.6148373067533112E-2</v>
      </c>
      <c r="E39" s="3">
        <f t="shared" si="5"/>
        <v>4.4918698454026487</v>
      </c>
      <c r="F39" s="2"/>
      <c r="G39" s="7">
        <v>45</v>
      </c>
      <c r="H39" s="6">
        <v>33.9</v>
      </c>
      <c r="I39" s="5">
        <f t="shared" si="6"/>
        <v>1.2224982960753838E-4</v>
      </c>
      <c r="J39" s="5">
        <f t="shared" si="7"/>
        <v>5.5012423323392269E-2</v>
      </c>
      <c r="K39" s="3">
        <f t="shared" si="8"/>
        <v>4.4009938658713814</v>
      </c>
      <c r="L39" s="2"/>
      <c r="M39" s="7">
        <v>45</v>
      </c>
      <c r="N39" s="6">
        <v>41</v>
      </c>
      <c r="O39" s="5">
        <f t="shared" si="9"/>
        <v>1.4785377622150659E-4</v>
      </c>
      <c r="P39" s="5">
        <f t="shared" si="10"/>
        <v>6.6534199299677965E-2</v>
      </c>
      <c r="Q39" s="3">
        <f t="shared" si="11"/>
        <v>5.3227359439742372</v>
      </c>
      <c r="R39" s="1"/>
      <c r="S39" s="4">
        <f t="shared" si="1"/>
        <v>4.7385332184160891</v>
      </c>
      <c r="T39" s="3">
        <f t="shared" si="2"/>
        <v>0.41475633756549846</v>
      </c>
      <c r="V39">
        <f t="shared" si="12"/>
        <v>8.7528422498668407E-2</v>
      </c>
    </row>
    <row r="40" spans="1:22">
      <c r="A40" s="7">
        <v>60</v>
      </c>
      <c r="B40" s="10">
        <v>27.6</v>
      </c>
      <c r="C40" s="5">
        <f t="shared" si="3"/>
        <v>9.9530834724721517E-5</v>
      </c>
      <c r="D40" s="5">
        <f t="shared" si="4"/>
        <v>4.4788875626124686E-2</v>
      </c>
      <c r="E40" s="3">
        <f t="shared" si="5"/>
        <v>3.5831100500899749</v>
      </c>
      <c r="F40" s="2"/>
      <c r="G40" s="7">
        <v>60</v>
      </c>
      <c r="H40" s="6">
        <v>34.200000000000003</v>
      </c>
      <c r="I40" s="5">
        <f t="shared" si="6"/>
        <v>1.2333168650672014E-4</v>
      </c>
      <c r="J40" s="5">
        <f t="shared" si="7"/>
        <v>5.5499258928024063E-2</v>
      </c>
      <c r="K40" s="3">
        <f t="shared" si="8"/>
        <v>4.4399407142419252</v>
      </c>
      <c r="L40" s="2"/>
      <c r="M40" s="7">
        <v>60</v>
      </c>
      <c r="N40" s="6">
        <v>57.5</v>
      </c>
      <c r="O40" s="5">
        <f t="shared" si="9"/>
        <v>2.0735590567650316E-4</v>
      </c>
      <c r="P40" s="5">
        <f t="shared" si="10"/>
        <v>9.3310157554426426E-2</v>
      </c>
      <c r="Q40" s="3">
        <f t="shared" si="11"/>
        <v>7.4648126043541136</v>
      </c>
      <c r="R40" s="1"/>
      <c r="S40" s="4">
        <f t="shared" si="1"/>
        <v>5.162621122895338</v>
      </c>
      <c r="T40" s="3">
        <f t="shared" si="2"/>
        <v>1.6650533344278153</v>
      </c>
      <c r="V40">
        <f t="shared" si="12"/>
        <v>0.32252092392439757</v>
      </c>
    </row>
    <row r="41" spans="1:22">
      <c r="A41" s="7">
        <v>75</v>
      </c>
      <c r="B41" s="10">
        <v>29.6</v>
      </c>
      <c r="C41" s="5">
        <f t="shared" si="3"/>
        <v>1.0674321405259988E-4</v>
      </c>
      <c r="D41" s="5">
        <f t="shared" si="4"/>
        <v>4.8034446323669946E-2</v>
      </c>
      <c r="E41" s="3">
        <f t="shared" si="5"/>
        <v>3.8427557058935955</v>
      </c>
      <c r="F41" s="2"/>
      <c r="G41" s="7">
        <v>75</v>
      </c>
      <c r="H41" s="6">
        <v>33.9</v>
      </c>
      <c r="I41" s="5">
        <f t="shared" si="6"/>
        <v>1.2224982960753838E-4</v>
      </c>
      <c r="J41" s="5">
        <f t="shared" si="7"/>
        <v>5.5012423323392269E-2</v>
      </c>
      <c r="K41" s="3">
        <f t="shared" si="8"/>
        <v>4.4009938658713814</v>
      </c>
      <c r="L41" s="2"/>
      <c r="M41" s="7">
        <v>75</v>
      </c>
      <c r="N41" s="10">
        <v>68.599999999999994</v>
      </c>
      <c r="O41" s="5">
        <f t="shared" si="9"/>
        <v>2.4738461094622809E-4</v>
      </c>
      <c r="P41" s="5">
        <f t="shared" si="10"/>
        <v>0.11132307492580264</v>
      </c>
      <c r="Q41" s="3">
        <f t="shared" si="11"/>
        <v>8.9058459940642116</v>
      </c>
      <c r="R41" s="1"/>
      <c r="S41" s="4">
        <f t="shared" si="1"/>
        <v>5.7165318552763962</v>
      </c>
      <c r="T41" s="3">
        <f t="shared" si="2"/>
        <v>2.2666717109332719</v>
      </c>
      <c r="V41">
        <f t="shared" si="12"/>
        <v>0.39651169071000963</v>
      </c>
    </row>
    <row r="42" spans="1:22">
      <c r="A42" s="7">
        <v>90</v>
      </c>
      <c r="B42" s="10">
        <v>32.6</v>
      </c>
      <c r="C42" s="5">
        <f t="shared" si="3"/>
        <v>1.1756178304441744E-4</v>
      </c>
      <c r="D42" s="5">
        <f t="shared" si="4"/>
        <v>5.2902802369987852E-2</v>
      </c>
      <c r="E42" s="3">
        <f t="shared" si="5"/>
        <v>4.2322241895990276</v>
      </c>
      <c r="F42" s="2"/>
      <c r="G42" s="9">
        <v>90</v>
      </c>
      <c r="H42" s="6">
        <v>33.700000000000003</v>
      </c>
      <c r="I42" s="5">
        <f t="shared" si="6"/>
        <v>1.2152859167475055E-4</v>
      </c>
      <c r="J42" s="5">
        <f t="shared" si="7"/>
        <v>5.4687866253637751E-2</v>
      </c>
      <c r="K42" s="3">
        <f t="shared" si="8"/>
        <v>4.3750293002910201</v>
      </c>
      <c r="L42" s="2"/>
      <c r="M42" s="7">
        <v>90</v>
      </c>
      <c r="N42" s="6">
        <v>73</v>
      </c>
      <c r="O42" s="5">
        <f t="shared" si="9"/>
        <v>2.6325184546756054E-4</v>
      </c>
      <c r="P42" s="5">
        <f t="shared" si="10"/>
        <v>0.11846333046040224</v>
      </c>
      <c r="Q42" s="3">
        <f t="shared" si="11"/>
        <v>9.47706643683218</v>
      </c>
      <c r="R42" s="1"/>
      <c r="S42" s="4">
        <f t="shared" si="1"/>
        <v>6.0281066422407434</v>
      </c>
      <c r="T42" s="3">
        <f t="shared" si="2"/>
        <v>2.4394795993464227</v>
      </c>
      <c r="V42">
        <f t="shared" si="12"/>
        <v>0.40468421415312406</v>
      </c>
    </row>
    <row r="43" spans="1:22">
      <c r="A43" s="7">
        <v>120</v>
      </c>
      <c r="B43" s="10">
        <v>44.6</v>
      </c>
      <c r="C43" s="5">
        <f t="shared" si="3"/>
        <v>1.6083605901168766E-4</v>
      </c>
      <c r="D43" s="5">
        <f t="shared" si="4"/>
        <v>7.2376226555259451E-2</v>
      </c>
      <c r="E43" s="3">
        <f t="shared" si="5"/>
        <v>5.7900981244207559</v>
      </c>
      <c r="F43" s="2"/>
      <c r="G43" s="9">
        <v>120</v>
      </c>
      <c r="H43" s="8">
        <v>33.799999999999997</v>
      </c>
      <c r="I43" s="5">
        <f t="shared" si="6"/>
        <v>1.2188921064114444E-4</v>
      </c>
      <c r="J43" s="5">
        <f t="shared" si="7"/>
        <v>5.4850144788515E-2</v>
      </c>
      <c r="K43" s="3">
        <f t="shared" si="8"/>
        <v>4.3880115830811999</v>
      </c>
      <c r="L43" s="2"/>
      <c r="M43" s="7">
        <v>120</v>
      </c>
      <c r="N43" s="6">
        <v>81.400000000000006</v>
      </c>
      <c r="O43" s="5">
        <f t="shared" si="9"/>
        <v>2.9354383864464972E-4</v>
      </c>
      <c r="P43" s="5">
        <f t="shared" si="10"/>
        <v>0.13209472739009237</v>
      </c>
      <c r="Q43" s="3">
        <f t="shared" si="11"/>
        <v>10.567578191207391</v>
      </c>
      <c r="R43" s="1"/>
      <c r="S43" s="4">
        <f t="shared" si="1"/>
        <v>6.9152292995697833</v>
      </c>
      <c r="T43" s="3">
        <f t="shared" si="2"/>
        <v>2.645272637119056</v>
      </c>
      <c r="V43">
        <f t="shared" si="12"/>
        <v>0.38252855003428826</v>
      </c>
    </row>
    <row r="44" spans="1:22">
      <c r="A44" s="7">
        <v>180</v>
      </c>
      <c r="B44" s="10">
        <v>50.6</v>
      </c>
      <c r="C44" s="5">
        <f t="shared" si="3"/>
        <v>1.8247319699532278E-4</v>
      </c>
      <c r="D44" s="5">
        <f t="shared" si="4"/>
        <v>8.2112938647895248E-2</v>
      </c>
      <c r="E44" s="3">
        <f t="shared" si="5"/>
        <v>6.5690350918316192</v>
      </c>
      <c r="F44" s="2"/>
      <c r="G44" s="9">
        <v>180</v>
      </c>
      <c r="H44" s="8">
        <v>33</v>
      </c>
      <c r="I44" s="5">
        <f t="shared" si="6"/>
        <v>1.1900425890999311E-4</v>
      </c>
      <c r="J44" s="5">
        <f t="shared" si="7"/>
        <v>5.3551916509496901E-2</v>
      </c>
      <c r="K44" s="3">
        <f t="shared" si="8"/>
        <v>4.284153320759752</v>
      </c>
      <c r="L44" s="2"/>
      <c r="M44" s="7">
        <v>180</v>
      </c>
      <c r="N44" s="6">
        <v>86.2</v>
      </c>
      <c r="O44" s="5">
        <f t="shared" si="9"/>
        <v>3.1085354903155778E-4</v>
      </c>
      <c r="P44" s="5">
        <f t="shared" si="10"/>
        <v>0.13988409706420099</v>
      </c>
      <c r="Q44" s="3">
        <f t="shared" si="11"/>
        <v>11.19072776513608</v>
      </c>
      <c r="R44" s="1"/>
      <c r="S44" s="4">
        <f t="shared" si="1"/>
        <v>7.3479720592424842</v>
      </c>
      <c r="T44" s="3">
        <f t="shared" si="2"/>
        <v>2.8728905000977023</v>
      </c>
      <c r="V44">
        <f t="shared" si="12"/>
        <v>0.39097733047094274</v>
      </c>
    </row>
    <row r="45" spans="1:22">
      <c r="A45" s="6">
        <v>360</v>
      </c>
      <c r="B45" s="10">
        <v>56.6</v>
      </c>
      <c r="C45" s="5">
        <f t="shared" si="3"/>
        <v>2.041103349789579E-4</v>
      </c>
      <c r="D45" s="5">
        <f t="shared" si="4"/>
        <v>9.1849650740531058E-2</v>
      </c>
      <c r="E45" s="3">
        <f t="shared" si="5"/>
        <v>7.3479720592424842</v>
      </c>
      <c r="F45" s="2"/>
      <c r="G45" s="22">
        <v>360</v>
      </c>
      <c r="H45" s="8">
        <v>40.4</v>
      </c>
      <c r="I45" s="5">
        <f t="shared" si="6"/>
        <v>1.4569006242314307E-4</v>
      </c>
      <c r="J45" s="5">
        <f t="shared" si="7"/>
        <v>6.5560528090414377E-2</v>
      </c>
      <c r="K45" s="3">
        <f t="shared" si="8"/>
        <v>5.2448422472331497</v>
      </c>
      <c r="L45" s="2"/>
      <c r="M45" s="6">
        <v>360</v>
      </c>
      <c r="N45" s="6">
        <v>85.9</v>
      </c>
      <c r="O45" s="5">
        <f t="shared" si="9"/>
        <v>3.0977169213237602E-4</v>
      </c>
      <c r="P45" s="5">
        <f t="shared" si="10"/>
        <v>0.13939726145956921</v>
      </c>
      <c r="Q45" s="3">
        <f t="shared" si="11"/>
        <v>11.151780916765537</v>
      </c>
      <c r="R45" s="1"/>
      <c r="S45" s="4">
        <f t="shared" si="1"/>
        <v>7.914865074413723</v>
      </c>
      <c r="T45" s="3">
        <f t="shared" si="2"/>
        <v>2.4445867925400289</v>
      </c>
      <c r="V45">
        <f t="shared" si="12"/>
        <v>0.30886019781216628</v>
      </c>
    </row>
    <row r="46" spans="1:22">
      <c r="A46" s="6"/>
      <c r="B46" s="10"/>
      <c r="C46" s="5"/>
      <c r="D46" s="5"/>
      <c r="E46" s="3"/>
      <c r="F46" s="2"/>
      <c r="G46" s="22"/>
      <c r="H46" s="8"/>
      <c r="I46" s="5"/>
      <c r="J46" s="5"/>
      <c r="K46" s="3"/>
      <c r="L46" s="2"/>
      <c r="M46" s="6"/>
      <c r="N46" s="6"/>
      <c r="O46" s="5"/>
      <c r="P46" s="5"/>
      <c r="Q46" s="3"/>
      <c r="R46" s="1"/>
      <c r="S46" s="1"/>
      <c r="T46" s="1"/>
    </row>
    <row r="47" spans="1:22">
      <c r="A47" s="6"/>
      <c r="B47" s="10"/>
      <c r="C47" s="5"/>
      <c r="D47" s="5"/>
      <c r="E47" s="1"/>
      <c r="F47" s="2"/>
      <c r="G47" s="22"/>
      <c r="H47" s="8"/>
      <c r="I47" s="5"/>
      <c r="J47" s="5"/>
      <c r="K47" s="1"/>
      <c r="L47" s="2"/>
      <c r="M47" s="6"/>
      <c r="N47" s="6"/>
      <c r="O47" s="5"/>
      <c r="P47" s="5"/>
      <c r="Q47" s="1"/>
      <c r="R47" s="1"/>
      <c r="S47" s="1"/>
      <c r="T47" s="1"/>
    </row>
    <row r="48" spans="1:22" ht="17" thickBo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14"/>
      <c r="T48" s="14"/>
    </row>
    <row r="49" spans="1:20">
      <c r="A49" s="36"/>
      <c r="B49" s="37"/>
      <c r="C49" s="18"/>
      <c r="D49" s="18"/>
      <c r="E49" s="17"/>
      <c r="F49" s="2"/>
      <c r="G49" s="36"/>
      <c r="H49" s="37"/>
      <c r="I49" s="18"/>
      <c r="J49" s="18"/>
      <c r="K49" s="17"/>
      <c r="L49" s="2"/>
      <c r="M49" s="36"/>
      <c r="N49" s="37"/>
      <c r="O49" s="18"/>
      <c r="P49" s="18"/>
      <c r="Q49" s="17"/>
      <c r="R49" s="6"/>
      <c r="S49" s="14"/>
      <c r="T49" s="14"/>
    </row>
    <row r="50" spans="1:20" ht="17" thickBot="1">
      <c r="A50" s="16">
        <v>60</v>
      </c>
      <c r="B50" s="10">
        <v>27.6</v>
      </c>
      <c r="C50" s="6">
        <f>B50/277301*1000</f>
        <v>9.9530834724721517E-2</v>
      </c>
      <c r="D50" s="6"/>
      <c r="E50" s="11"/>
      <c r="F50" s="2"/>
      <c r="G50" s="16"/>
      <c r="H50" s="15"/>
      <c r="I50" s="6"/>
      <c r="J50" s="6"/>
      <c r="K50" s="11"/>
      <c r="L50" s="2"/>
      <c r="M50" s="16"/>
      <c r="N50" s="15"/>
      <c r="O50" s="6"/>
      <c r="P50" s="6"/>
      <c r="Q50" s="11"/>
      <c r="R50" s="6"/>
      <c r="S50" s="14"/>
      <c r="T50" s="14"/>
    </row>
    <row r="51" spans="1:20">
      <c r="A51" s="7"/>
      <c r="B51" s="6">
        <v>34.200000000000003</v>
      </c>
      <c r="C51" s="6">
        <f t="shared" ref="C51:C52" si="13">B51/277301*1000</f>
        <v>0.12333168650672013</v>
      </c>
      <c r="D51" s="6"/>
      <c r="E51" s="11"/>
      <c r="F51" s="2"/>
      <c r="G51" s="7"/>
      <c r="H51" s="6"/>
      <c r="I51" s="6"/>
      <c r="J51" s="6"/>
      <c r="K51" s="11"/>
      <c r="L51" s="2"/>
      <c r="M51" s="7"/>
      <c r="N51" s="6"/>
      <c r="O51" s="6"/>
      <c r="P51" s="6"/>
      <c r="Q51" s="11"/>
      <c r="R51" s="6"/>
      <c r="S51" s="13" t="s">
        <v>1</v>
      </c>
      <c r="T51" s="12" t="s">
        <v>0</v>
      </c>
    </row>
    <row r="52" spans="1:20">
      <c r="A52" s="7"/>
      <c r="B52" s="6">
        <v>57.5</v>
      </c>
      <c r="C52" s="6">
        <f t="shared" si="13"/>
        <v>0.20735590567650317</v>
      </c>
      <c r="D52" s="6"/>
      <c r="E52" s="11"/>
      <c r="F52" s="2"/>
      <c r="G52" s="7"/>
      <c r="H52" s="6"/>
      <c r="I52" s="6"/>
      <c r="J52" s="6"/>
      <c r="K52" s="11"/>
      <c r="L52" s="2"/>
      <c r="M52" s="7"/>
      <c r="N52" s="6"/>
      <c r="O52" s="6"/>
      <c r="P52" s="6"/>
      <c r="Q52" s="11"/>
      <c r="R52" s="6"/>
      <c r="S52" s="4" t="e">
        <f>AVERAGE(E52,K52,Q52)</f>
        <v>#DIV/0!</v>
      </c>
      <c r="T52" s="3" t="e">
        <f>STDEVP(E52,K52,Q52)</f>
        <v>#DIV/0!</v>
      </c>
    </row>
    <row r="53" spans="1:20">
      <c r="A53" s="7"/>
      <c r="B53" s="6"/>
      <c r="C53" s="5">
        <f>AVERAGE(C50:C52)</f>
        <v>0.14340614230264828</v>
      </c>
      <c r="D53" s="5"/>
      <c r="E53" s="3"/>
      <c r="F53" s="2"/>
      <c r="G53" s="7"/>
      <c r="H53" s="6"/>
      <c r="I53" s="5"/>
      <c r="J53" s="5"/>
      <c r="K53" s="3"/>
      <c r="L53" s="2"/>
      <c r="M53" s="7"/>
      <c r="N53" s="6"/>
      <c r="O53" s="5"/>
      <c r="P53" s="5"/>
      <c r="Q53" s="3"/>
      <c r="R53" s="1"/>
      <c r="S53" s="4" t="e">
        <f t="shared" ref="S53:S62" si="14">AVERAGE(E53,K53,Q53)</f>
        <v>#DIV/0!</v>
      </c>
      <c r="T53" s="3" t="e">
        <f>STDEVP(E53,K53,Q53)</f>
        <v>#DIV/0!</v>
      </c>
    </row>
    <row r="54" spans="1:20">
      <c r="A54" s="7"/>
      <c r="B54" s="6"/>
      <c r="C54" s="5">
        <f>STDEV(C50:C52)</f>
        <v>5.6646264775942576E-2</v>
      </c>
      <c r="D54" s="5"/>
      <c r="E54" s="3"/>
      <c r="F54" s="2"/>
      <c r="G54" s="7"/>
      <c r="H54" s="6"/>
      <c r="I54" s="5"/>
      <c r="J54" s="5"/>
      <c r="K54" s="3"/>
      <c r="L54" s="2"/>
      <c r="M54" s="7"/>
      <c r="N54" s="6"/>
      <c r="O54" s="5"/>
      <c r="P54" s="5"/>
      <c r="Q54" s="3"/>
      <c r="R54" s="1"/>
      <c r="S54" s="4" t="e">
        <f t="shared" si="14"/>
        <v>#DIV/0!</v>
      </c>
      <c r="T54" s="3" t="e">
        <f t="shared" ref="T54:T62" si="15">STDEVP(E54,K54,Q54)</f>
        <v>#DIV/0!</v>
      </c>
    </row>
    <row r="55" spans="1:20">
      <c r="A55" s="7"/>
      <c r="B55" s="6"/>
      <c r="C55" s="5"/>
      <c r="D55" s="5"/>
      <c r="E55" s="3"/>
      <c r="F55" s="2"/>
      <c r="G55" s="7"/>
      <c r="H55" s="6"/>
      <c r="I55" s="5"/>
      <c r="J55" s="5"/>
      <c r="K55" s="3"/>
      <c r="L55" s="2"/>
      <c r="M55" s="7"/>
      <c r="N55" s="6"/>
      <c r="O55" s="5"/>
      <c r="P55" s="5"/>
      <c r="Q55" s="3"/>
      <c r="R55" s="1"/>
      <c r="S55" s="4" t="e">
        <f t="shared" si="14"/>
        <v>#DIV/0!</v>
      </c>
      <c r="T55" s="3" t="e">
        <f t="shared" si="15"/>
        <v>#DIV/0!</v>
      </c>
    </row>
    <row r="56" spans="1:20">
      <c r="A56" s="7">
        <v>180</v>
      </c>
      <c r="B56" s="10">
        <v>50.6</v>
      </c>
      <c r="C56" s="6">
        <f>B56/277301*1000</f>
        <v>0.18247319699532277</v>
      </c>
      <c r="D56" s="5"/>
      <c r="E56" s="3"/>
      <c r="F56" s="2"/>
      <c r="G56" s="7"/>
      <c r="H56" s="6"/>
      <c r="I56" s="5"/>
      <c r="J56" s="5"/>
      <c r="K56" s="3"/>
      <c r="L56" s="2"/>
      <c r="M56" s="7"/>
      <c r="N56" s="6"/>
      <c r="O56" s="5"/>
      <c r="P56" s="5"/>
      <c r="Q56" s="3"/>
      <c r="R56" s="1"/>
      <c r="S56" s="4" t="e">
        <f t="shared" si="14"/>
        <v>#DIV/0!</v>
      </c>
      <c r="T56" s="3" t="e">
        <f t="shared" si="15"/>
        <v>#DIV/0!</v>
      </c>
    </row>
    <row r="57" spans="1:20">
      <c r="A57" s="7"/>
      <c r="B57" s="8">
        <v>33</v>
      </c>
      <c r="C57" s="6">
        <f t="shared" ref="C57:C58" si="16">B57/277301*1000</f>
        <v>0.11900425890999311</v>
      </c>
      <c r="D57" s="5"/>
      <c r="E57" s="3"/>
      <c r="F57" s="2"/>
      <c r="G57" s="7"/>
      <c r="H57" s="6"/>
      <c r="I57" s="5"/>
      <c r="J57" s="5"/>
      <c r="K57" s="3"/>
      <c r="L57" s="2"/>
      <c r="M57" s="7"/>
      <c r="N57" s="6"/>
      <c r="O57" s="5"/>
      <c r="P57" s="5"/>
      <c r="Q57" s="3"/>
      <c r="R57" s="1"/>
      <c r="S57" s="4" t="e">
        <f t="shared" si="14"/>
        <v>#DIV/0!</v>
      </c>
      <c r="T57" s="3" t="e">
        <f t="shared" si="15"/>
        <v>#DIV/0!</v>
      </c>
    </row>
    <row r="58" spans="1:20">
      <c r="A58" s="7"/>
      <c r="B58" s="6">
        <v>86.2</v>
      </c>
      <c r="C58" s="6">
        <f t="shared" si="16"/>
        <v>0.31085354903155776</v>
      </c>
      <c r="D58" s="5"/>
      <c r="E58" s="3"/>
      <c r="F58" s="2"/>
      <c r="G58" s="7"/>
      <c r="H58" s="6"/>
      <c r="I58" s="5"/>
      <c r="J58" s="5"/>
      <c r="K58" s="3"/>
      <c r="L58" s="2"/>
      <c r="M58" s="7"/>
      <c r="N58" s="6"/>
      <c r="O58" s="5"/>
      <c r="P58" s="5"/>
      <c r="Q58" s="3"/>
      <c r="R58" s="1"/>
      <c r="S58" s="4" t="e">
        <f t="shared" si="14"/>
        <v>#DIV/0!</v>
      </c>
      <c r="T58" s="3" t="e">
        <f t="shared" si="15"/>
        <v>#DIV/0!</v>
      </c>
    </row>
    <row r="59" spans="1:20">
      <c r="A59" s="7"/>
      <c r="B59" s="6"/>
      <c r="C59" s="5">
        <f>AVERAGE(C56:C58)</f>
        <v>0.20411033497895789</v>
      </c>
      <c r="D59" s="5"/>
      <c r="E59" s="3"/>
      <c r="F59" s="2"/>
      <c r="G59" s="7"/>
      <c r="H59" s="6"/>
      <c r="I59" s="5"/>
      <c r="J59" s="5"/>
      <c r="K59" s="3"/>
      <c r="L59" s="2"/>
      <c r="M59" s="7"/>
      <c r="N59" s="6"/>
      <c r="O59" s="5"/>
      <c r="P59" s="5"/>
      <c r="Q59" s="3"/>
      <c r="R59" s="1"/>
      <c r="S59" s="4" t="e">
        <f t="shared" si="14"/>
        <v>#DIV/0!</v>
      </c>
      <c r="T59" s="3" t="e">
        <f t="shared" si="15"/>
        <v>#DIV/0!</v>
      </c>
    </row>
    <row r="60" spans="1:20">
      <c r="A60" s="7"/>
      <c r="B60" s="10"/>
      <c r="C60" s="5">
        <f>STDEV(C56:C58)</f>
        <v>9.7737719612896734E-2</v>
      </c>
      <c r="D60" s="5"/>
      <c r="E60" s="3"/>
      <c r="F60" s="2"/>
      <c r="G60" s="9"/>
      <c r="H60" s="8"/>
      <c r="I60" s="5"/>
      <c r="J60" s="5"/>
      <c r="K60" s="3"/>
      <c r="L60" s="2"/>
      <c r="M60" s="7"/>
      <c r="N60" s="6"/>
      <c r="O60" s="5"/>
      <c r="P60" s="5"/>
      <c r="Q60" s="3"/>
      <c r="R60" s="1"/>
      <c r="S60" s="4" t="e">
        <f t="shared" si="14"/>
        <v>#DIV/0!</v>
      </c>
      <c r="T60" s="3" t="e">
        <f t="shared" si="15"/>
        <v>#DIV/0!</v>
      </c>
    </row>
    <row r="61" spans="1:20">
      <c r="A61" s="7"/>
      <c r="B61" s="10"/>
      <c r="C61" s="5"/>
      <c r="D61" s="5"/>
      <c r="E61" s="3"/>
      <c r="F61" s="2"/>
      <c r="G61" s="9"/>
      <c r="H61" s="8"/>
      <c r="I61" s="5"/>
      <c r="J61" s="5"/>
      <c r="K61" s="3"/>
      <c r="L61" s="2"/>
      <c r="M61" s="7"/>
      <c r="N61" s="6"/>
      <c r="O61" s="5"/>
      <c r="P61" s="5"/>
      <c r="Q61" s="3"/>
      <c r="R61" s="1"/>
      <c r="S61" s="4" t="e">
        <f t="shared" si="14"/>
        <v>#DIV/0!</v>
      </c>
      <c r="T61" s="3" t="e">
        <f t="shared" si="15"/>
        <v>#DIV/0!</v>
      </c>
    </row>
    <row r="62" spans="1:20">
      <c r="A62" s="9"/>
      <c r="B62" s="22"/>
      <c r="C62" s="5"/>
      <c r="D62" s="5"/>
      <c r="E62" s="3"/>
      <c r="G62" s="9"/>
      <c r="H62" s="22"/>
      <c r="I62" s="23"/>
      <c r="J62" s="23"/>
      <c r="K62" s="24"/>
      <c r="M62" s="9"/>
      <c r="N62" s="22"/>
      <c r="O62" s="5"/>
      <c r="P62" s="5"/>
      <c r="Q62" s="3"/>
      <c r="S62" s="4" t="e">
        <f t="shared" si="14"/>
        <v>#DIV/0!</v>
      </c>
      <c r="T62" s="24" t="e">
        <f t="shared" si="15"/>
        <v>#DIV/0!</v>
      </c>
    </row>
    <row r="63" spans="1:20">
      <c r="A63" s="9"/>
      <c r="B63" s="22"/>
      <c r="C63" s="5"/>
      <c r="D63" s="5"/>
      <c r="E63" s="3"/>
      <c r="G63" s="9"/>
      <c r="H63" s="22"/>
      <c r="I63" s="23"/>
      <c r="J63" s="23"/>
      <c r="K63" s="24"/>
      <c r="M63" s="9"/>
      <c r="N63" s="22"/>
      <c r="O63" s="5"/>
      <c r="P63" s="5"/>
      <c r="Q63" s="3"/>
      <c r="S63" s="4"/>
      <c r="T63" s="24"/>
    </row>
    <row r="66" spans="1:12">
      <c r="B66" t="s">
        <v>14</v>
      </c>
      <c r="C66" t="s">
        <v>10</v>
      </c>
    </row>
    <row r="67" spans="1:12">
      <c r="A67" t="s">
        <v>19</v>
      </c>
      <c r="B67">
        <v>42.57</v>
      </c>
      <c r="C67">
        <v>81</v>
      </c>
    </row>
    <row r="68" spans="1:12">
      <c r="B68">
        <v>62.43</v>
      </c>
      <c r="C68">
        <v>101.4</v>
      </c>
    </row>
    <row r="69" spans="1:12">
      <c r="B69">
        <v>66.98</v>
      </c>
      <c r="C69">
        <v>85.57</v>
      </c>
    </row>
    <row r="71" spans="1:12">
      <c r="A71" t="s">
        <v>20</v>
      </c>
      <c r="B71">
        <f>_xlfn.T.TEST(B67:B69,C67:C69,2,2)</f>
        <v>3.0108439981409336E-2</v>
      </c>
    </row>
    <row r="74" spans="1:12">
      <c r="A74" s="7" t="s">
        <v>6</v>
      </c>
      <c r="B74" s="6" t="s">
        <v>5</v>
      </c>
      <c r="C74" s="6" t="s">
        <v>4</v>
      </c>
      <c r="D74" s="6" t="s">
        <v>3</v>
      </c>
      <c r="E74" s="11" t="s">
        <v>2</v>
      </c>
      <c r="F74" s="22" t="s">
        <v>74</v>
      </c>
      <c r="G74" s="22" t="s">
        <v>77</v>
      </c>
      <c r="H74" s="22" t="s">
        <v>78</v>
      </c>
      <c r="J74" t="s">
        <v>18</v>
      </c>
      <c r="L74">
        <v>73.599999999999994</v>
      </c>
    </row>
    <row r="75" spans="1:12">
      <c r="A75" t="s">
        <v>75</v>
      </c>
      <c r="B75">
        <v>166.8</v>
      </c>
      <c r="C75">
        <f>B75/149742*1000</f>
        <v>1.1139159354089034</v>
      </c>
      <c r="F75">
        <v>42.7</v>
      </c>
      <c r="G75">
        <v>0.217</v>
      </c>
      <c r="H75">
        <v>9163</v>
      </c>
      <c r="J75" t="s">
        <v>17</v>
      </c>
      <c r="K75" t="s">
        <v>16</v>
      </c>
      <c r="L75">
        <v>73.7</v>
      </c>
    </row>
    <row r="76" spans="1:12">
      <c r="B76">
        <v>262.5</v>
      </c>
      <c r="C76">
        <f>B76/149742*1000</f>
        <v>1.7530151861201266</v>
      </c>
      <c r="F76">
        <v>41.6</v>
      </c>
      <c r="G76">
        <v>0.221</v>
      </c>
      <c r="H76">
        <v>9445</v>
      </c>
      <c r="J76" s="19">
        <v>5.0000000000000001E-4</v>
      </c>
      <c r="K76" s="20">
        <f>AVERAGE(L74:L76)</f>
        <v>74.033333333333346</v>
      </c>
      <c r="L76">
        <v>74.8</v>
      </c>
    </row>
    <row r="77" spans="1:12">
      <c r="C77">
        <f>AVERAGE(C75:C76)</f>
        <v>1.433465560764515</v>
      </c>
      <c r="F77">
        <v>42.3</v>
      </c>
      <c r="G77">
        <v>0.19600000000000001</v>
      </c>
      <c r="H77">
        <v>9577</v>
      </c>
      <c r="J77" s="19">
        <v>1E-3</v>
      </c>
      <c r="K77">
        <v>146.6</v>
      </c>
    </row>
    <row r="78" spans="1:12">
      <c r="C78">
        <f>STDEV(C75:C77)</f>
        <v>0.31954962535561077</v>
      </c>
      <c r="F78">
        <v>35.9</v>
      </c>
      <c r="G78">
        <v>0.28999999999999998</v>
      </c>
      <c r="H78">
        <v>8997</v>
      </c>
      <c r="J78" s="19">
        <v>0.01</v>
      </c>
      <c r="K78" s="21">
        <v>1521.2</v>
      </c>
    </row>
    <row r="79" spans="1:12">
      <c r="F79">
        <v>38.200000000000003</v>
      </c>
      <c r="G79">
        <v>0.248</v>
      </c>
      <c r="H79">
        <v>8987</v>
      </c>
      <c r="J79" s="19">
        <v>0.05</v>
      </c>
      <c r="K79" s="21">
        <v>7456.4</v>
      </c>
    </row>
    <row r="80" spans="1:12">
      <c r="F80">
        <v>39</v>
      </c>
      <c r="G80">
        <v>0.23</v>
      </c>
      <c r="H80">
        <v>8838</v>
      </c>
      <c r="J80" s="19">
        <v>0.1</v>
      </c>
      <c r="K80" s="21">
        <v>14987.2</v>
      </c>
    </row>
    <row r="81" spans="1:11">
      <c r="F81">
        <f>AVERAGE(F75:F80)</f>
        <v>39.949999999999996</v>
      </c>
      <c r="G81">
        <f>AVERAGE(G75:G80)</f>
        <v>0.23366666666666666</v>
      </c>
      <c r="H81">
        <f>AVERAGE(H75:H80)</f>
        <v>9167.8333333333339</v>
      </c>
    </row>
    <row r="82" spans="1:11">
      <c r="F82">
        <f>STDEV(F75:F80)</f>
        <v>2.6897955312625532</v>
      </c>
      <c r="G82">
        <f>STDEV(G75:G80)</f>
        <v>3.24016460487224E-2</v>
      </c>
      <c r="H82">
        <f>STDEV(H75:H80)</f>
        <v>288.07527951330127</v>
      </c>
      <c r="J82" t="s">
        <v>0</v>
      </c>
      <c r="K82" t="s">
        <v>15</v>
      </c>
    </row>
    <row r="83" spans="1:11">
      <c r="J83">
        <f>STDEV(L74:L76)</f>
        <v>0.66583281184793885</v>
      </c>
      <c r="K83">
        <f>3*J83/26064</f>
        <v>7.6638214991705666E-5</v>
      </c>
    </row>
    <row r="84" spans="1:11">
      <c r="A84" t="s">
        <v>76</v>
      </c>
      <c r="B84">
        <v>154.5</v>
      </c>
      <c r="C84">
        <f>B84/149742*1000</f>
        <v>1.0317746524021316</v>
      </c>
      <c r="F84">
        <v>42.8</v>
      </c>
      <c r="G84">
        <v>0.27600000000000002</v>
      </c>
      <c r="H84">
        <v>9758</v>
      </c>
    </row>
    <row r="85" spans="1:11">
      <c r="B85">
        <v>205.2</v>
      </c>
      <c r="C85">
        <f>B85/149742*1000</f>
        <v>1.3703570140641903</v>
      </c>
      <c r="F85">
        <v>48.5</v>
      </c>
      <c r="G85">
        <v>0.29199999999999998</v>
      </c>
      <c r="H85">
        <v>9450</v>
      </c>
    </row>
    <row r="86" spans="1:11">
      <c r="C86">
        <f>AVERAGE(C84:C85)</f>
        <v>1.201065833233161</v>
      </c>
      <c r="F86">
        <v>48</v>
      </c>
      <c r="G86">
        <v>0.30199999999999999</v>
      </c>
      <c r="H86">
        <v>9738</v>
      </c>
    </row>
    <row r="87" spans="1:11">
      <c r="C87">
        <f>STDEV(C84:C86)</f>
        <v>0.16929118083103045</v>
      </c>
      <c r="F87">
        <v>47.6</v>
      </c>
      <c r="G87">
        <v>0.28100000000000003</v>
      </c>
      <c r="H87">
        <v>10463</v>
      </c>
    </row>
    <row r="88" spans="1:11">
      <c r="F88">
        <v>45.2</v>
      </c>
      <c r="G88">
        <v>0.30599999999999999</v>
      </c>
      <c r="H88">
        <v>10726</v>
      </c>
    </row>
    <row r="89" spans="1:11">
      <c r="F89">
        <v>43.9</v>
      </c>
      <c r="G89">
        <v>0.36899999999999999</v>
      </c>
      <c r="H89">
        <v>11221</v>
      </c>
    </row>
    <row r="90" spans="1:11">
      <c r="F90">
        <f>AVERAGE(F84:F89)</f>
        <v>46</v>
      </c>
      <c r="G90">
        <f>AVERAGE(G84:G89)</f>
        <v>0.3043333333333334</v>
      </c>
      <c r="H90">
        <f>AVERAGE(H84:H89)</f>
        <v>10226</v>
      </c>
    </row>
    <row r="91" spans="1:11">
      <c r="F91">
        <f>STDEV(F84:F89)</f>
        <v>2.370653918225941</v>
      </c>
      <c r="G91">
        <f>STDEV(G84:G89)</f>
        <v>3.3732279298420084E-2</v>
      </c>
      <c r="H91">
        <f>STDEV(H84:H89)</f>
        <v>686.37278500826358</v>
      </c>
    </row>
  </sheetData>
  <mergeCells count="6">
    <mergeCell ref="A32:B32"/>
    <mergeCell ref="G32:H32"/>
    <mergeCell ref="M32:N32"/>
    <mergeCell ref="A49:B49"/>
    <mergeCell ref="G49:H49"/>
    <mergeCell ref="M49:N49"/>
  </mergeCells>
  <pageMargins left="0.7" right="0.7" top="0.75" bottom="0.75" header="0.3" footer="0.3"/>
  <pageSetup paperSize="9" orientation="portrait" horizontalDpi="0" verticalDpi="0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2AD03-67C0-5046-B7D9-7BFDFE849045}">
  <dimension ref="A1:H24"/>
  <sheetViews>
    <sheetView workbookViewId="0">
      <selection activeCell="G14" sqref="G14"/>
    </sheetView>
  </sheetViews>
  <sheetFormatPr baseColWidth="10" defaultRowHeight="16"/>
  <cols>
    <col min="7" max="7" width="12.1640625" bestFit="1" customWidth="1"/>
  </cols>
  <sheetData>
    <row r="1" spans="1:8">
      <c r="B1" t="s">
        <v>46</v>
      </c>
      <c r="C1" t="s">
        <v>47</v>
      </c>
      <c r="F1" t="s">
        <v>71</v>
      </c>
      <c r="G1" t="s">
        <v>46</v>
      </c>
      <c r="H1" t="s">
        <v>47</v>
      </c>
    </row>
    <row r="2" spans="1:8">
      <c r="A2" t="s">
        <v>48</v>
      </c>
      <c r="B2">
        <v>1.73</v>
      </c>
      <c r="C2">
        <v>2.8</v>
      </c>
      <c r="G2">
        <v>6.5846498461913427E-2</v>
      </c>
      <c r="H2">
        <v>0.44576523322382072</v>
      </c>
    </row>
    <row r="3" spans="1:8">
      <c r="B3">
        <v>1.6</v>
      </c>
      <c r="C3">
        <v>3.58</v>
      </c>
      <c r="G3">
        <v>0.19627225289444111</v>
      </c>
      <c r="H3">
        <v>0.23094183594059575</v>
      </c>
    </row>
    <row r="4" spans="1:8">
      <c r="B4">
        <v>1.47</v>
      </c>
      <c r="C4">
        <v>0.97</v>
      </c>
      <c r="G4">
        <v>2.6836944808383088E-2</v>
      </c>
      <c r="H4">
        <v>9.3945004470806726E-2</v>
      </c>
    </row>
    <row r="5" spans="1:8">
      <c r="G5">
        <v>7.8411088607212048E-2</v>
      </c>
      <c r="H5">
        <v>8.7528422498668407E-2</v>
      </c>
    </row>
    <row r="6" spans="1:8">
      <c r="A6" t="s">
        <v>20</v>
      </c>
      <c r="B6">
        <f>_xlfn.T.TEST(B2:B4,C2:C4,2,2)</f>
        <v>0.33550641290257277</v>
      </c>
      <c r="G6">
        <v>0.1486394719013435</v>
      </c>
      <c r="H6">
        <v>0.32252092392439757</v>
      </c>
    </row>
    <row r="7" spans="1:8">
      <c r="G7">
        <v>3.9370039370058993E-2</v>
      </c>
      <c r="H7">
        <v>0.39651169071000963</v>
      </c>
    </row>
    <row r="8" spans="1:8">
      <c r="A8" t="s">
        <v>50</v>
      </c>
      <c r="B8">
        <v>1.65</v>
      </c>
      <c r="C8">
        <v>4.49</v>
      </c>
      <c r="G8">
        <v>7.2008229982309518E-2</v>
      </c>
      <c r="H8">
        <v>0.40468421415312406</v>
      </c>
    </row>
    <row r="9" spans="1:8">
      <c r="B9">
        <v>1.68</v>
      </c>
      <c r="C9">
        <v>4.4000000000000004</v>
      </c>
      <c r="G9">
        <v>6.2807429302132706E-2</v>
      </c>
      <c r="H9">
        <v>0.38252855003428826</v>
      </c>
    </row>
    <row r="10" spans="1:8">
      <c r="B10">
        <v>1.58</v>
      </c>
      <c r="C10">
        <v>5.32</v>
      </c>
      <c r="G10">
        <v>3.8573787492514701E-2</v>
      </c>
      <c r="H10">
        <v>0.39097733047094274</v>
      </c>
    </row>
    <row r="11" spans="1:8">
      <c r="H11">
        <v>0.30886019781216628</v>
      </c>
    </row>
    <row r="12" spans="1:8">
      <c r="A12" t="s">
        <v>20</v>
      </c>
      <c r="B12">
        <f>_xlfn.T.TEST(B8:B10,C8:C10,2,2)</f>
        <v>4.5952180674600974E-4</v>
      </c>
    </row>
    <row r="13" spans="1:8">
      <c r="F13" t="s">
        <v>20</v>
      </c>
      <c r="G13">
        <f>_xlfn.T.TEST(G2:G10,H2:H11,1,2)</f>
        <v>7.5352068364990975E-5</v>
      </c>
    </row>
    <row r="14" spans="1:8">
      <c r="A14" t="s">
        <v>49</v>
      </c>
      <c r="B14">
        <v>1.76</v>
      </c>
      <c r="C14">
        <v>4.2300000000000004</v>
      </c>
    </row>
    <row r="15" spans="1:8">
      <c r="B15">
        <v>1.78</v>
      </c>
      <c r="C15">
        <v>4.38</v>
      </c>
    </row>
    <row r="16" spans="1:8">
      <c r="B16">
        <v>1.63</v>
      </c>
      <c r="C16">
        <v>9.48</v>
      </c>
    </row>
    <row r="18" spans="1:3">
      <c r="A18" t="s">
        <v>20</v>
      </c>
      <c r="B18">
        <f>_xlfn.T.TEST(B14:B16,C14:C16,2,2)</f>
        <v>6.7131143131678561E-2</v>
      </c>
    </row>
    <row r="20" spans="1:3">
      <c r="A20" t="s">
        <v>51</v>
      </c>
      <c r="B20">
        <v>1.76</v>
      </c>
      <c r="C20">
        <v>7.35</v>
      </c>
    </row>
    <row r="21" spans="1:3">
      <c r="B21">
        <v>1.78</v>
      </c>
      <c r="C21">
        <v>5.24</v>
      </c>
    </row>
    <row r="22" spans="1:3">
      <c r="B22">
        <v>1.63</v>
      </c>
      <c r="C22">
        <v>11.15</v>
      </c>
    </row>
    <row r="24" spans="1:3">
      <c r="A24" t="s">
        <v>20</v>
      </c>
      <c r="B24">
        <f>_xlfn.T.TEST(B20:B22,C20:C22,2,2)</f>
        <v>2.3199995719031863E-2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E2BF8-006A-6848-A536-ADA457C86705}">
  <dimension ref="A1:K63"/>
  <sheetViews>
    <sheetView topLeftCell="A42" workbookViewId="0">
      <selection activeCell="H18" sqref="H18"/>
    </sheetView>
  </sheetViews>
  <sheetFormatPr baseColWidth="10" defaultRowHeight="16"/>
  <cols>
    <col min="3" max="3" width="12.6640625" customWidth="1"/>
  </cols>
  <sheetData>
    <row r="1" spans="1:8" ht="21">
      <c r="A1" s="28" t="s">
        <v>47</v>
      </c>
      <c r="B1" s="27" t="s">
        <v>62</v>
      </c>
      <c r="E1" s="29" t="s">
        <v>64</v>
      </c>
    </row>
    <row r="2" spans="1:8">
      <c r="A2" t="s">
        <v>52</v>
      </c>
      <c r="B2" t="s">
        <v>53</v>
      </c>
      <c r="C2" t="s">
        <v>54</v>
      </c>
      <c r="D2" t="s">
        <v>58</v>
      </c>
    </row>
    <row r="3" spans="1:8">
      <c r="A3" s="7">
        <v>0</v>
      </c>
      <c r="B3" s="4">
        <v>0</v>
      </c>
      <c r="C3">
        <f>$G$3*(A3^$G$4)</f>
        <v>0</v>
      </c>
      <c r="D3" s="26">
        <f>(B3-C3)^2</f>
        <v>0</v>
      </c>
      <c r="F3" t="s">
        <v>55</v>
      </c>
      <c r="G3">
        <v>1.5581985142739319</v>
      </c>
    </row>
    <row r="4" spans="1:8">
      <c r="A4" s="7">
        <v>5</v>
      </c>
      <c r="B4" s="4">
        <v>2.4536514473442219</v>
      </c>
      <c r="C4">
        <f t="shared" ref="C4:C13" si="0">$G$3*(A4^$G$4)</f>
        <v>2.4855978764532312</v>
      </c>
      <c r="D4" s="26">
        <f t="shared" ref="D4:D13" si="1">(B4-C4)^2</f>
        <v>1.0205743328169533E-3</v>
      </c>
      <c r="F4" t="s">
        <v>56</v>
      </c>
      <c r="G4">
        <v>0.29015277055632976</v>
      </c>
    </row>
    <row r="5" spans="1:8" ht="17" thickBot="1">
      <c r="A5" s="7">
        <v>15</v>
      </c>
      <c r="B5" s="4">
        <v>2.8517747862431073</v>
      </c>
      <c r="C5">
        <f t="shared" si="0"/>
        <v>3.4187624336497318</v>
      </c>
      <c r="D5" s="26">
        <f t="shared" si="1"/>
        <v>0.32147499231169868</v>
      </c>
      <c r="F5" t="s">
        <v>57</v>
      </c>
      <c r="G5" s="32">
        <v>0.9849532159634532</v>
      </c>
    </row>
    <row r="6" spans="1:8">
      <c r="A6" s="7">
        <v>30</v>
      </c>
      <c r="B6" s="4">
        <v>3.7086054503950585</v>
      </c>
      <c r="C6">
        <f t="shared" si="0"/>
        <v>4.1803592964187386</v>
      </c>
      <c r="D6" s="26">
        <f t="shared" si="1"/>
        <v>0.22255169123813406</v>
      </c>
    </row>
    <row r="7" spans="1:8">
      <c r="A7" s="7">
        <v>45</v>
      </c>
      <c r="B7" s="4">
        <v>4.7385332184160891</v>
      </c>
      <c r="C7">
        <f t="shared" si="0"/>
        <v>4.7022636639891555</v>
      </c>
      <c r="D7" s="26">
        <f t="shared" si="1"/>
        <v>1.3154805783282973E-3</v>
      </c>
      <c r="F7" t="s">
        <v>59</v>
      </c>
      <c r="G7" s="26">
        <f>SUM(D3:D13)</f>
        <v>1.7035250149286292</v>
      </c>
    </row>
    <row r="8" spans="1:8" ht="17" thickBot="1">
      <c r="A8" s="7">
        <v>60</v>
      </c>
      <c r="B8" s="4">
        <v>5.162621122895338</v>
      </c>
      <c r="C8">
        <f t="shared" si="0"/>
        <v>5.111616904161</v>
      </c>
      <c r="D8" s="26">
        <f t="shared" si="1"/>
        <v>2.6014303287001978E-3</v>
      </c>
    </row>
    <row r="9" spans="1:8">
      <c r="A9" s="7">
        <v>75</v>
      </c>
      <c r="B9" s="4">
        <v>5.7165318552763962</v>
      </c>
      <c r="C9">
        <f t="shared" si="0"/>
        <v>5.453521208841277</v>
      </c>
      <c r="D9" s="26">
        <f t="shared" si="1"/>
        <v>6.9174600138219272E-2</v>
      </c>
      <c r="F9" s="33"/>
      <c r="G9" s="33" t="s">
        <v>60</v>
      </c>
      <c r="H9" s="33" t="s">
        <v>61</v>
      </c>
    </row>
    <row r="10" spans="1:8">
      <c r="A10" s="7">
        <v>90</v>
      </c>
      <c r="B10" s="4">
        <v>6.0281066422407434</v>
      </c>
      <c r="C10">
        <f t="shared" si="0"/>
        <v>5.7497857787632034</v>
      </c>
      <c r="D10" s="26">
        <f t="shared" si="1"/>
        <v>7.7462503046883485E-2</v>
      </c>
      <c r="F10" s="31" t="s">
        <v>60</v>
      </c>
      <c r="G10" s="31">
        <v>1</v>
      </c>
      <c r="H10" s="31"/>
    </row>
    <row r="11" spans="1:8" ht="17" thickBot="1">
      <c r="A11" s="7">
        <v>120</v>
      </c>
      <c r="B11" s="4">
        <v>6.9152292995697833</v>
      </c>
      <c r="C11">
        <f t="shared" si="0"/>
        <v>6.250330539121018</v>
      </c>
      <c r="D11" s="26">
        <f t="shared" si="1"/>
        <v>0.44209036164630455</v>
      </c>
      <c r="F11" s="32" t="s">
        <v>61</v>
      </c>
      <c r="G11" s="32">
        <v>0.9849532159634532</v>
      </c>
      <c r="H11" s="32">
        <v>1</v>
      </c>
    </row>
    <row r="12" spans="1:8">
      <c r="A12" s="7">
        <v>180</v>
      </c>
      <c r="B12" s="4">
        <v>7.3479720592424842</v>
      </c>
      <c r="C12">
        <f t="shared" si="0"/>
        <v>7.0306641362643534</v>
      </c>
      <c r="D12" s="26">
        <f t="shared" si="1"/>
        <v>0.1006843179846954</v>
      </c>
    </row>
    <row r="13" spans="1:8">
      <c r="A13" s="6">
        <v>360</v>
      </c>
      <c r="B13" s="4">
        <v>7.914865074413723</v>
      </c>
      <c r="C13">
        <f t="shared" si="0"/>
        <v>8.5968834490363193</v>
      </c>
      <c r="D13" s="26">
        <f t="shared" si="1"/>
        <v>0.46514906332284811</v>
      </c>
    </row>
    <row r="18" spans="1:8">
      <c r="B18" s="27" t="s">
        <v>63</v>
      </c>
      <c r="E18" s="29" t="s">
        <v>65</v>
      </c>
      <c r="F18" s="30" t="s">
        <v>79</v>
      </c>
    </row>
    <row r="19" spans="1:8">
      <c r="A19" t="s">
        <v>52</v>
      </c>
      <c r="B19" t="s">
        <v>53</v>
      </c>
      <c r="C19" t="s">
        <v>54</v>
      </c>
      <c r="D19" t="s">
        <v>0</v>
      </c>
    </row>
    <row r="20" spans="1:8">
      <c r="A20">
        <v>0</v>
      </c>
      <c r="B20" s="4">
        <v>0</v>
      </c>
      <c r="C20">
        <f>1- (1-$G$20*A20)^$G$22</f>
        <v>0</v>
      </c>
      <c r="D20">
        <f>(B20-C20)^2</f>
        <v>0</v>
      </c>
      <c r="F20" s="30" t="s">
        <v>55</v>
      </c>
      <c r="G20">
        <v>8.1743254402431697E-3</v>
      </c>
    </row>
    <row r="21" spans="1:8">
      <c r="A21">
        <v>5</v>
      </c>
      <c r="B21" s="4">
        <v>2.4536514473442219</v>
      </c>
      <c r="C21">
        <f t="shared" ref="C21:C30" si="2">1- (1-$G$20*A21)^$G$22</f>
        <v>0.11767168751427004</v>
      </c>
      <c r="D21">
        <f t="shared" ref="D21:D30" si="3">(B21-C21)^2</f>
        <v>5.4568014383351997</v>
      </c>
    </row>
    <row r="22" spans="1:8">
      <c r="A22">
        <v>15</v>
      </c>
      <c r="B22" s="4">
        <v>2.8517747862431073</v>
      </c>
      <c r="C22">
        <f t="shared" si="2"/>
        <v>0.3245848595418086</v>
      </c>
      <c r="D22">
        <f t="shared" si="3"/>
        <v>6.3866889256205157</v>
      </c>
      <c r="F22" s="30" t="s">
        <v>56</v>
      </c>
      <c r="G22">
        <v>3</v>
      </c>
    </row>
    <row r="23" spans="1:8">
      <c r="A23">
        <v>30</v>
      </c>
      <c r="B23" s="4">
        <v>3.7086054503950585</v>
      </c>
      <c r="C23">
        <f t="shared" si="2"/>
        <v>0.57002391775693195</v>
      </c>
      <c r="D23">
        <f t="shared" si="3"/>
        <v>9.8506940370170923</v>
      </c>
      <c r="F23" t="s">
        <v>57</v>
      </c>
    </row>
    <row r="24" spans="1:8">
      <c r="A24">
        <v>45</v>
      </c>
      <c r="B24" s="4">
        <v>4.7385332184160891</v>
      </c>
      <c r="C24">
        <f t="shared" si="2"/>
        <v>0.74737782846274325</v>
      </c>
      <c r="D24">
        <f t="shared" si="3"/>
        <v>15.929321346753646</v>
      </c>
      <c r="F24" t="s">
        <v>59</v>
      </c>
      <c r="G24">
        <f>SUM(D20:D30)</f>
        <v>178.47557679378045</v>
      </c>
    </row>
    <row r="25" spans="1:8" ht="17" thickBot="1">
      <c r="A25">
        <v>60</v>
      </c>
      <c r="B25" s="4">
        <v>5.162621122895338</v>
      </c>
      <c r="C25">
        <f t="shared" si="2"/>
        <v>0.86770724547661604</v>
      </c>
      <c r="D25">
        <f t="shared" si="3"/>
        <v>18.446285214443918</v>
      </c>
    </row>
    <row r="26" spans="1:8">
      <c r="A26">
        <v>75</v>
      </c>
      <c r="B26" s="4">
        <v>5.7165318552763962</v>
      </c>
      <c r="C26">
        <f t="shared" si="2"/>
        <v>0.94207282261592407</v>
      </c>
      <c r="D26">
        <f t="shared" si="3"/>
        <v>22.79545905455317</v>
      </c>
      <c r="F26" s="33"/>
      <c r="G26" s="33" t="s">
        <v>60</v>
      </c>
      <c r="H26" s="33" t="s">
        <v>61</v>
      </c>
    </row>
    <row r="27" spans="1:8">
      <c r="A27">
        <v>90</v>
      </c>
      <c r="B27" s="4">
        <v>6.0281066422407434</v>
      </c>
      <c r="C27">
        <f t="shared" si="2"/>
        <v>0.98153521369804075</v>
      </c>
      <c r="D27">
        <f t="shared" si="3"/>
        <v>25.467883183383535</v>
      </c>
      <c r="F27" s="31" t="s">
        <v>60</v>
      </c>
      <c r="G27" s="31">
        <v>1</v>
      </c>
      <c r="H27" s="31"/>
    </row>
    <row r="28" spans="1:8" ht="17" thickBot="1">
      <c r="A28">
        <v>120</v>
      </c>
      <c r="B28" s="4">
        <v>6.9152292995697833</v>
      </c>
      <c r="C28">
        <f t="shared" si="2"/>
        <v>0.99999305296019425</v>
      </c>
      <c r="D28">
        <f t="shared" si="3"/>
        <v>34.990019853203897</v>
      </c>
      <c r="F28" s="32" t="s">
        <v>61</v>
      </c>
      <c r="G28" s="32">
        <v>0.56751284777549471</v>
      </c>
      <c r="H28" s="32">
        <v>1</v>
      </c>
    </row>
    <row r="29" spans="1:8">
      <c r="A29">
        <v>180</v>
      </c>
      <c r="B29" s="4">
        <v>7.3479720592424842</v>
      </c>
      <c r="C29">
        <f t="shared" si="2"/>
        <v>1.1047392667626412</v>
      </c>
      <c r="D29">
        <f t="shared" si="3"/>
        <v>38.977955701095652</v>
      </c>
    </row>
    <row r="30" spans="1:8">
      <c r="A30">
        <v>360</v>
      </c>
      <c r="B30" s="4">
        <v>7.914865074413723</v>
      </c>
      <c r="C30">
        <f t="shared" si="2"/>
        <v>8.3325587892022615</v>
      </c>
      <c r="D30">
        <f t="shared" si="3"/>
        <v>0.17446803937384892</v>
      </c>
    </row>
    <row r="34" spans="1:8">
      <c r="B34" s="27" t="s">
        <v>67</v>
      </c>
      <c r="D34" s="30" t="s">
        <v>68</v>
      </c>
    </row>
    <row r="35" spans="1:8">
      <c r="A35" t="s">
        <v>52</v>
      </c>
      <c r="B35" t="s">
        <v>69</v>
      </c>
      <c r="C35" t="s">
        <v>70</v>
      </c>
      <c r="D35" t="s">
        <v>0</v>
      </c>
    </row>
    <row r="36" spans="1:8">
      <c r="A36" s="34">
        <v>0</v>
      </c>
      <c r="B36">
        <f>3/2*(1-(1-B20/100)^(2/3))-B20/100</f>
        <v>0</v>
      </c>
      <c r="C36">
        <f>$G$36*A36</f>
        <v>0</v>
      </c>
      <c r="D36">
        <f>(B36-C36)^2</f>
        <v>0</v>
      </c>
      <c r="F36" t="s">
        <v>55</v>
      </c>
      <c r="G36">
        <v>7.1832505020906111E-6</v>
      </c>
    </row>
    <row r="37" spans="1:8" ht="17" thickBot="1">
      <c r="A37" s="34">
        <v>5</v>
      </c>
      <c r="B37">
        <f t="shared" ref="B37:B46" si="4">3/2*(1-(1-B21/100)^(2/3))-B21/100</f>
        <v>1.0145023325210806E-4</v>
      </c>
      <c r="C37">
        <f t="shared" ref="C37:C46" si="5">$G$36*A37</f>
        <v>3.5916252510453058E-5</v>
      </c>
      <c r="D37">
        <f t="shared" ref="D37:D46" si="6">(B37-C37)^2</f>
        <v>4.2947026318476084E-9</v>
      </c>
      <c r="F37" t="s">
        <v>57</v>
      </c>
      <c r="G37" s="32">
        <v>0.99547035642922521</v>
      </c>
    </row>
    <row r="38" spans="1:8">
      <c r="A38" s="34">
        <v>15</v>
      </c>
      <c r="B38">
        <f t="shared" si="4"/>
        <v>1.3729074624588972E-4</v>
      </c>
      <c r="C38">
        <f t="shared" si="5"/>
        <v>1.0774875753135916E-4</v>
      </c>
      <c r="D38">
        <f t="shared" si="6"/>
        <v>8.7272909720945075E-10</v>
      </c>
    </row>
    <row r="39" spans="1:8">
      <c r="A39" s="34">
        <v>30</v>
      </c>
      <c r="B39">
        <f t="shared" si="4"/>
        <v>2.3309136937671449E-4</v>
      </c>
      <c r="C39">
        <f t="shared" si="5"/>
        <v>2.1549751506271832E-4</v>
      </c>
      <c r="D39">
        <f t="shared" si="6"/>
        <v>3.0954370962212149E-10</v>
      </c>
      <c r="F39" t="s">
        <v>59</v>
      </c>
      <c r="G39">
        <f>SUM(D36:D44)</f>
        <v>1.2074415640153216E-8</v>
      </c>
    </row>
    <row r="40" spans="1:8" ht="17" thickBot="1">
      <c r="A40" s="34">
        <v>45</v>
      </c>
      <c r="B40">
        <f t="shared" si="4"/>
        <v>3.8233456417993E-4</v>
      </c>
      <c r="C40">
        <f t="shared" si="5"/>
        <v>3.2324627259407748E-4</v>
      </c>
      <c r="D40">
        <f t="shared" si="6"/>
        <v>3.4914262025347302E-9</v>
      </c>
    </row>
    <row r="41" spans="1:8">
      <c r="A41" s="34">
        <v>60</v>
      </c>
      <c r="B41">
        <f t="shared" si="4"/>
        <v>4.5472128204949308E-4</v>
      </c>
      <c r="C41">
        <f t="shared" si="5"/>
        <v>4.3099503012543664E-4</v>
      </c>
      <c r="D41">
        <f t="shared" si="6"/>
        <v>5.6293503036379198E-10</v>
      </c>
      <c r="F41" s="33"/>
      <c r="G41" s="33" t="s">
        <v>60</v>
      </c>
      <c r="H41" s="33" t="s">
        <v>61</v>
      </c>
    </row>
    <row r="42" spans="1:8">
      <c r="A42" s="34">
        <v>75</v>
      </c>
      <c r="B42">
        <f t="shared" si="4"/>
        <v>5.5896309691178675E-4</v>
      </c>
      <c r="C42">
        <f t="shared" si="5"/>
        <v>5.3874378765679585E-4</v>
      </c>
      <c r="D42">
        <f t="shared" si="6"/>
        <v>4.0882046674896049E-10</v>
      </c>
      <c r="F42" s="31" t="s">
        <v>60</v>
      </c>
      <c r="G42" s="31">
        <v>1</v>
      </c>
      <c r="H42" s="31"/>
    </row>
    <row r="43" spans="1:8" ht="17" thickBot="1">
      <c r="A43" s="34">
        <v>90</v>
      </c>
      <c r="B43">
        <f t="shared" si="4"/>
        <v>6.2245494605600582E-4</v>
      </c>
      <c r="C43">
        <f t="shared" si="5"/>
        <v>6.4649254518815496E-4</v>
      </c>
      <c r="D43">
        <f t="shared" si="6"/>
        <v>5.7780617203789705E-10</v>
      </c>
      <c r="F43" s="32" t="s">
        <v>61</v>
      </c>
      <c r="G43" s="32">
        <v>0.99547035642922521</v>
      </c>
      <c r="H43" s="32">
        <v>1</v>
      </c>
    </row>
    <row r="44" spans="1:8">
      <c r="A44" s="34">
        <v>120</v>
      </c>
      <c r="B44">
        <f t="shared" si="4"/>
        <v>8.2253816131319657E-4</v>
      </c>
      <c r="C44">
        <f t="shared" si="5"/>
        <v>8.6199006025087328E-4</v>
      </c>
      <c r="D44">
        <f t="shared" si="6"/>
        <v>1.5564523297886568E-9</v>
      </c>
      <c r="F44" s="31"/>
      <c r="G44" s="31"/>
    </row>
    <row r="45" spans="1:8">
      <c r="A45">
        <v>180</v>
      </c>
      <c r="B45">
        <f t="shared" si="4"/>
        <v>9.3059096900151295E-4</v>
      </c>
      <c r="C45">
        <f t="shared" si="5"/>
        <v>1.2929850903763099E-3</v>
      </c>
      <c r="D45">
        <f t="shared" si="6"/>
        <v>1.3132949920701107E-7</v>
      </c>
      <c r="F45" s="31"/>
      <c r="G45" s="31"/>
    </row>
    <row r="46" spans="1:8">
      <c r="A46">
        <v>360</v>
      </c>
      <c r="B46">
        <f t="shared" si="4"/>
        <v>1.0826034286630787E-3</v>
      </c>
      <c r="C46">
        <f t="shared" si="5"/>
        <v>2.5859701807526198E-3</v>
      </c>
      <c r="D46">
        <f t="shared" si="6"/>
        <v>2.2601115912882559E-6</v>
      </c>
      <c r="F46" s="31"/>
      <c r="G46" s="31"/>
    </row>
    <row r="47" spans="1:8">
      <c r="F47" s="31"/>
      <c r="G47" s="31"/>
    </row>
    <row r="48" spans="1:8" ht="17" thickBot="1">
      <c r="F48" s="32"/>
      <c r="G48" s="32"/>
    </row>
    <row r="50" spans="1:11" ht="17" thickBot="1"/>
    <row r="51" spans="1:11" ht="17" thickBot="1">
      <c r="A51" s="35" t="s">
        <v>72</v>
      </c>
      <c r="C51" t="s">
        <v>73</v>
      </c>
      <c r="H51" s="33"/>
      <c r="I51" s="33"/>
      <c r="J51" s="33"/>
      <c r="K51" s="33"/>
    </row>
    <row r="52" spans="1:11">
      <c r="A52" t="s">
        <v>52</v>
      </c>
      <c r="B52" t="s">
        <v>53</v>
      </c>
      <c r="C52" t="s">
        <v>54</v>
      </c>
      <c r="D52" t="s">
        <v>58</v>
      </c>
      <c r="F52" s="33"/>
      <c r="G52" s="33"/>
      <c r="H52" s="31"/>
      <c r="I52" s="31"/>
      <c r="J52" s="31"/>
      <c r="K52" s="31"/>
    </row>
    <row r="53" spans="1:11">
      <c r="A53" s="7">
        <v>0</v>
      </c>
      <c r="B53" s="4">
        <f>(2.5)^(1/3)-(2.5/100*(100-B3))^(1/3)</f>
        <v>0</v>
      </c>
      <c r="C53">
        <f>$G$53*A53</f>
        <v>0</v>
      </c>
      <c r="D53" s="26">
        <f t="shared" ref="D53:D63" si="7">(B53-C53)^2</f>
        <v>0</v>
      </c>
      <c r="F53" s="31" t="s">
        <v>55</v>
      </c>
      <c r="G53" s="31">
        <v>1.5682038847649989E-4</v>
      </c>
      <c r="H53" s="31"/>
      <c r="I53" s="31"/>
      <c r="J53" s="31"/>
      <c r="K53" s="31"/>
    </row>
    <row r="54" spans="1:11" ht="17" thickBot="1">
      <c r="A54" s="7">
        <v>5</v>
      </c>
      <c r="B54" s="4">
        <f t="shared" ref="B54:B63" si="8">(2.5)^(1/3)-(2.5/100*(100-B4))^(1/3)</f>
        <v>1.11924376789867E-2</v>
      </c>
      <c r="C54">
        <f t="shared" ref="C54:C63" si="9">$G$53*A54</f>
        <v>7.8410194238249945E-4</v>
      </c>
      <c r="D54" s="26">
        <f t="shared" si="7"/>
        <v>1.0833345280587211E-4</v>
      </c>
      <c r="F54" s="31" t="s">
        <v>57</v>
      </c>
      <c r="G54" s="31"/>
      <c r="H54" s="32"/>
      <c r="I54" s="32"/>
      <c r="J54" s="32"/>
      <c r="K54" s="32"/>
    </row>
    <row r="55" spans="1:11" ht="17" thickBot="1">
      <c r="A55" s="7">
        <v>15</v>
      </c>
      <c r="B55" s="4">
        <f t="shared" si="8"/>
        <v>1.302613431157762E-2</v>
      </c>
      <c r="C55">
        <f t="shared" si="9"/>
        <v>2.3523058271474983E-3</v>
      </c>
      <c r="D55" s="26">
        <f t="shared" si="7"/>
        <v>1.1393061451503181E-4</v>
      </c>
      <c r="F55" s="32"/>
      <c r="G55" s="32"/>
    </row>
    <row r="56" spans="1:11">
      <c r="A56" s="7">
        <v>30</v>
      </c>
      <c r="B56" s="4">
        <f t="shared" si="8"/>
        <v>1.698962982192187E-2</v>
      </c>
      <c r="C56">
        <f t="shared" si="9"/>
        <v>4.7046116542949967E-3</v>
      </c>
      <c r="D56" s="26">
        <f t="shared" si="7"/>
        <v>1.5092167137892231E-4</v>
      </c>
      <c r="F56" t="s">
        <v>59</v>
      </c>
      <c r="G56" s="26">
        <f>SUM(D53:D63)</f>
        <v>1.7936881795532502E-3</v>
      </c>
    </row>
    <row r="57" spans="1:11">
      <c r="A57" s="7">
        <v>45</v>
      </c>
      <c r="B57" s="4">
        <f t="shared" si="8"/>
        <v>2.1785072918162562E-2</v>
      </c>
      <c r="C57">
        <f t="shared" si="9"/>
        <v>7.0569174814424946E-3</v>
      </c>
      <c r="D57" s="26">
        <f t="shared" si="7"/>
        <v>2.1691856256818689E-4</v>
      </c>
    </row>
    <row r="58" spans="1:11" ht="17" thickBot="1">
      <c r="A58" s="7">
        <v>60</v>
      </c>
      <c r="B58" s="4">
        <f t="shared" si="8"/>
        <v>2.3769714311344892E-2</v>
      </c>
      <c r="C58">
        <f t="shared" si="9"/>
        <v>9.4092233085899934E-3</v>
      </c>
      <c r="D58" s="26">
        <f t="shared" si="7"/>
        <v>2.062237018402044E-4</v>
      </c>
    </row>
    <row r="59" spans="1:11">
      <c r="A59" s="7">
        <v>75</v>
      </c>
      <c r="B59" s="4">
        <f t="shared" si="8"/>
        <v>2.6370829663091122E-2</v>
      </c>
      <c r="C59">
        <f t="shared" si="9"/>
        <v>1.1761529135737492E-2</v>
      </c>
      <c r="D59" s="26">
        <f t="shared" si="7"/>
        <v>2.1343166189853504E-4</v>
      </c>
      <c r="F59" s="33"/>
      <c r="G59" s="33" t="s">
        <v>60</v>
      </c>
      <c r="H59" s="33" t="s">
        <v>61</v>
      </c>
    </row>
    <row r="60" spans="1:11">
      <c r="A60" s="7">
        <v>90</v>
      </c>
      <c r="B60" s="4">
        <f t="shared" si="8"/>
        <v>2.7838436421975032E-2</v>
      </c>
      <c r="C60">
        <f t="shared" si="9"/>
        <v>1.4113834962884989E-2</v>
      </c>
      <c r="D60" s="26">
        <f t="shared" si="7"/>
        <v>1.8836468521085653E-4</v>
      </c>
      <c r="F60" s="31" t="s">
        <v>60</v>
      </c>
      <c r="G60" s="31">
        <v>1</v>
      </c>
      <c r="H60" s="31"/>
    </row>
    <row r="61" spans="1:11" ht="17" thickBot="1">
      <c r="A61" s="7">
        <v>120</v>
      </c>
      <c r="B61" s="4">
        <f t="shared" si="8"/>
        <v>3.2034886898692383E-2</v>
      </c>
      <c r="C61">
        <f t="shared" si="9"/>
        <v>1.8818446617179987E-2</v>
      </c>
      <c r="D61" s="26">
        <f t="shared" si="7"/>
        <v>1.7467429371478347E-4</v>
      </c>
      <c r="F61" s="32" t="s">
        <v>61</v>
      </c>
      <c r="G61" s="32">
        <v>0.89499940603213446</v>
      </c>
      <c r="H61" s="32">
        <v>1</v>
      </c>
    </row>
    <row r="62" spans="1:11">
      <c r="A62" s="7">
        <v>180</v>
      </c>
      <c r="B62" s="4">
        <f t="shared" si="8"/>
        <v>3.4091615661739239E-2</v>
      </c>
      <c r="C62">
        <f t="shared" si="9"/>
        <v>2.8227669925769978E-2</v>
      </c>
      <c r="D62" s="26">
        <f t="shared" si="7"/>
        <v>3.4385859594392069E-5</v>
      </c>
    </row>
    <row r="63" spans="1:11">
      <c r="A63" s="6">
        <v>360</v>
      </c>
      <c r="B63" s="4">
        <f t="shared" si="8"/>
        <v>3.679564310854655E-2</v>
      </c>
      <c r="C63">
        <f t="shared" si="9"/>
        <v>5.6455339851539957E-2</v>
      </c>
      <c r="D63" s="26">
        <f t="shared" si="7"/>
        <v>3.8650367602646556E-4</v>
      </c>
    </row>
  </sheetData>
  <scenarios current="0" show="0" sqref="G6">
    <scenario name="test" locked="1" count="2" user="Microsoft Office User" comment="Created by Microsoft Office User on 16/9/2019">
      <inputCells r="G3" val="0.5"/>
      <inputCells r="G4" val="0.5"/>
    </scenario>
  </scenario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E9078-2909-3B4C-9E50-EED517FAA023}">
  <dimension ref="A1:K78"/>
  <sheetViews>
    <sheetView tabSelected="1" topLeftCell="A48" workbookViewId="0">
      <selection activeCell="H81" sqref="H81"/>
    </sheetView>
  </sheetViews>
  <sheetFormatPr baseColWidth="10" defaultRowHeight="16"/>
  <cols>
    <col min="3" max="3" width="12.6640625" customWidth="1"/>
  </cols>
  <sheetData>
    <row r="1" spans="1:7" ht="21">
      <c r="A1" s="28" t="s">
        <v>46</v>
      </c>
      <c r="B1" s="27" t="s">
        <v>62</v>
      </c>
      <c r="E1" s="29" t="s">
        <v>64</v>
      </c>
    </row>
    <row r="2" spans="1:7">
      <c r="A2" t="s">
        <v>52</v>
      </c>
      <c r="B2" t="s">
        <v>53</v>
      </c>
      <c r="C2" t="s">
        <v>54</v>
      </c>
      <c r="D2" t="s">
        <v>58</v>
      </c>
    </row>
    <row r="3" spans="1:7">
      <c r="A3" s="7">
        <v>0</v>
      </c>
      <c r="B3" s="4">
        <v>0</v>
      </c>
      <c r="C3" t="e">
        <f>$G$3*(A3^$G$4)</f>
        <v>#NUM!</v>
      </c>
      <c r="D3" s="26" t="e">
        <f>(B3-C3)^2</f>
        <v>#NUM!</v>
      </c>
      <c r="F3" t="s">
        <v>55</v>
      </c>
      <c r="G3">
        <v>2.355279916778183</v>
      </c>
    </row>
    <row r="4" spans="1:7">
      <c r="A4" s="7">
        <v>5</v>
      </c>
      <c r="B4" s="4">
        <v>0</v>
      </c>
      <c r="C4">
        <f t="shared" ref="C4:C13" si="0">$G$3*(A4^$G$4)</f>
        <v>2.355279916778183</v>
      </c>
      <c r="D4" s="26">
        <f t="shared" ref="D4:D13" si="1">(B4-C4)^2</f>
        <v>5.5473434863786446</v>
      </c>
      <c r="F4" t="s">
        <v>56</v>
      </c>
      <c r="G4">
        <v>0</v>
      </c>
    </row>
    <row r="5" spans="1:7">
      <c r="A5" s="7">
        <v>15</v>
      </c>
      <c r="B5" s="4">
        <v>1.6017682603016954</v>
      </c>
      <c r="C5">
        <f t="shared" si="0"/>
        <v>2.355279916778183</v>
      </c>
      <c r="D5" s="26">
        <f t="shared" si="1"/>
        <v>0.56777981644594033</v>
      </c>
      <c r="F5" t="s">
        <v>57</v>
      </c>
      <c r="G5">
        <v>0.9662863578339822</v>
      </c>
    </row>
    <row r="6" spans="1:7">
      <c r="A6" s="7">
        <v>30</v>
      </c>
      <c r="B6" s="4">
        <v>1.8687296370186441</v>
      </c>
      <c r="C6">
        <f t="shared" si="0"/>
        <v>2.355279916778183</v>
      </c>
      <c r="D6" s="26">
        <f t="shared" si="1"/>
        <v>0.23673117473408559</v>
      </c>
    </row>
    <row r="7" spans="1:7">
      <c r="A7" s="7">
        <v>45</v>
      </c>
      <c r="B7" s="4">
        <v>1.6362148895554949</v>
      </c>
      <c r="C7">
        <f t="shared" si="0"/>
        <v>2.355279916778183</v>
      </c>
      <c r="D7" s="26">
        <f t="shared" si="1"/>
        <v>0.51705451337476527</v>
      </c>
      <c r="F7" t="s">
        <v>59</v>
      </c>
      <c r="G7" s="26" t="e">
        <f>SUM(D3:D13)</f>
        <v>#NUM!</v>
      </c>
    </row>
    <row r="8" spans="1:7">
      <c r="A8" s="7">
        <v>60</v>
      </c>
      <c r="B8" s="4">
        <v>1.7912247211975945</v>
      </c>
      <c r="C8">
        <f t="shared" si="0"/>
        <v>2.355279916778183</v>
      </c>
      <c r="D8" s="26">
        <f t="shared" si="1"/>
        <v>0.31815826366145605</v>
      </c>
    </row>
    <row r="9" spans="1:7">
      <c r="A9" s="7">
        <v>75</v>
      </c>
      <c r="B9" s="4">
        <v>1.6448265468689449</v>
      </c>
      <c r="C9">
        <f t="shared" si="0"/>
        <v>2.355279916778183</v>
      </c>
      <c r="D9" s="26">
        <f t="shared" si="1"/>
        <v>0.50474399081539278</v>
      </c>
    </row>
    <row r="10" spans="1:7">
      <c r="A10" s="7">
        <v>90</v>
      </c>
      <c r="B10" s="4">
        <v>1.7223314626899946</v>
      </c>
      <c r="C10">
        <f t="shared" si="0"/>
        <v>2.355279916778183</v>
      </c>
      <c r="D10" s="26">
        <f t="shared" si="1"/>
        <v>0.40062374553262758</v>
      </c>
    </row>
    <row r="11" spans="1:7">
      <c r="A11" s="7">
        <v>120</v>
      </c>
      <c r="B11" s="4">
        <v>1.5500983164209954</v>
      </c>
      <c r="C11">
        <f t="shared" si="0"/>
        <v>2.355279916778183</v>
      </c>
      <c r="D11" s="26">
        <f t="shared" si="1"/>
        <v>0.64831740955376183</v>
      </c>
    </row>
    <row r="12" spans="1:7">
      <c r="A12" s="7">
        <v>180</v>
      </c>
      <c r="B12" s="4">
        <v>1.6792731761227448</v>
      </c>
      <c r="C12">
        <f t="shared" si="0"/>
        <v>2.355279916778183</v>
      </c>
      <c r="D12" s="26">
        <f t="shared" si="1"/>
        <v>0.45698511341158887</v>
      </c>
    </row>
    <row r="13" spans="1:7">
      <c r="A13" s="6">
        <v>360</v>
      </c>
      <c r="B13" s="4">
        <v>1.670661518809295</v>
      </c>
      <c r="C13">
        <f t="shared" si="0"/>
        <v>2.355279916778183</v>
      </c>
      <c r="D13" s="26">
        <f t="shared" si="1"/>
        <v>0.46870235083748674</v>
      </c>
    </row>
    <row r="18" spans="1:7">
      <c r="B18" s="27" t="s">
        <v>63</v>
      </c>
      <c r="E18" s="29" t="s">
        <v>65</v>
      </c>
      <c r="F18" s="30" t="s">
        <v>66</v>
      </c>
    </row>
    <row r="19" spans="1:7">
      <c r="A19" t="s">
        <v>52</v>
      </c>
      <c r="B19" t="s">
        <v>53</v>
      </c>
      <c r="C19" t="s">
        <v>54</v>
      </c>
      <c r="D19" t="s">
        <v>0</v>
      </c>
    </row>
    <row r="20" spans="1:7">
      <c r="A20">
        <v>0</v>
      </c>
      <c r="B20" s="4">
        <v>0</v>
      </c>
      <c r="C20">
        <f>1- (1-$G$20*A20)^$G$21</f>
        <v>0</v>
      </c>
      <c r="D20">
        <f>(B20-C20)^2</f>
        <v>0</v>
      </c>
      <c r="F20" s="30" t="s">
        <v>55</v>
      </c>
      <c r="G20">
        <v>0</v>
      </c>
    </row>
    <row r="21" spans="1:7">
      <c r="A21">
        <v>5</v>
      </c>
      <c r="B21" s="4">
        <v>0</v>
      </c>
      <c r="C21">
        <f t="shared" ref="C21:C30" si="2">1- (1-$G$20*A21*(A21-1))^$G$21</f>
        <v>0</v>
      </c>
      <c r="D21">
        <f t="shared" ref="D21:D30" si="3">(B21-C21)^2</f>
        <v>0</v>
      </c>
      <c r="F21" t="s">
        <v>56</v>
      </c>
      <c r="G21">
        <v>3</v>
      </c>
    </row>
    <row r="22" spans="1:7">
      <c r="A22">
        <v>15</v>
      </c>
      <c r="B22" s="4">
        <v>1.6017682603016954</v>
      </c>
      <c r="C22">
        <f t="shared" si="2"/>
        <v>0</v>
      </c>
      <c r="D22">
        <f t="shared" si="3"/>
        <v>2.5656615597099197</v>
      </c>
      <c r="F22" t="s">
        <v>57</v>
      </c>
    </row>
    <row r="23" spans="1:7">
      <c r="A23">
        <v>30</v>
      </c>
      <c r="B23" s="4">
        <v>1.8687296370186441</v>
      </c>
      <c r="C23">
        <f t="shared" si="2"/>
        <v>0</v>
      </c>
      <c r="D23">
        <f t="shared" si="3"/>
        <v>3.4921504562718333</v>
      </c>
    </row>
    <row r="24" spans="1:7">
      <c r="A24">
        <v>45</v>
      </c>
      <c r="B24" s="4">
        <v>1.6362148895554949</v>
      </c>
      <c r="C24">
        <f t="shared" si="2"/>
        <v>0</v>
      </c>
      <c r="D24">
        <f t="shared" si="3"/>
        <v>2.6771991648031004</v>
      </c>
      <c r="F24" t="s">
        <v>59</v>
      </c>
      <c r="G24">
        <f>SUM(D20:D30)</f>
        <v>25.629250320317681</v>
      </c>
    </row>
    <row r="25" spans="1:7">
      <c r="A25">
        <v>60</v>
      </c>
      <c r="B25" s="4">
        <v>1.7912247211975945</v>
      </c>
      <c r="C25">
        <f t="shared" si="2"/>
        <v>0</v>
      </c>
      <c r="D25">
        <f t="shared" si="3"/>
        <v>3.2084860018293999</v>
      </c>
    </row>
    <row r="26" spans="1:7">
      <c r="A26">
        <v>75</v>
      </c>
      <c r="B26" s="4">
        <v>1.6448265468689449</v>
      </c>
      <c r="C26">
        <f t="shared" si="2"/>
        <v>0</v>
      </c>
      <c r="D26">
        <f t="shared" si="3"/>
        <v>2.7054543692848174</v>
      </c>
    </row>
    <row r="27" spans="1:7">
      <c r="A27">
        <v>90</v>
      </c>
      <c r="B27" s="4">
        <v>1.7223314626899946</v>
      </c>
      <c r="C27">
        <f t="shared" si="2"/>
        <v>0</v>
      </c>
      <c r="D27">
        <f t="shared" si="3"/>
        <v>2.9664256673718561</v>
      </c>
    </row>
    <row r="28" spans="1:7">
      <c r="A28">
        <v>120</v>
      </c>
      <c r="B28" s="4">
        <v>1.5500983164209954</v>
      </c>
      <c r="C28">
        <f t="shared" si="2"/>
        <v>0</v>
      </c>
      <c r="D28">
        <f t="shared" si="3"/>
        <v>2.4028047905712042</v>
      </c>
    </row>
    <row r="29" spans="1:7">
      <c r="A29">
        <v>180</v>
      </c>
      <c r="B29" s="4">
        <v>1.6792731761227448</v>
      </c>
      <c r="C29">
        <f t="shared" si="2"/>
        <v>0</v>
      </c>
      <c r="D29">
        <f t="shared" si="3"/>
        <v>2.8199584000453712</v>
      </c>
    </row>
    <row r="30" spans="1:7">
      <c r="A30">
        <v>360</v>
      </c>
      <c r="B30" s="4">
        <v>1.670661518809295</v>
      </c>
      <c r="C30">
        <f t="shared" si="2"/>
        <v>0</v>
      </c>
      <c r="D30">
        <f t="shared" si="3"/>
        <v>2.7911099104301806</v>
      </c>
    </row>
    <row r="34" spans="1:8">
      <c r="B34" s="27" t="s">
        <v>67</v>
      </c>
      <c r="D34" s="30" t="s">
        <v>68</v>
      </c>
    </row>
    <row r="35" spans="1:8">
      <c r="A35" t="s">
        <v>52</v>
      </c>
      <c r="B35" t="s">
        <v>69</v>
      </c>
      <c r="C35" t="s">
        <v>70</v>
      </c>
      <c r="D35" t="s">
        <v>0</v>
      </c>
    </row>
    <row r="36" spans="1:8">
      <c r="A36" s="34">
        <v>0</v>
      </c>
      <c r="B36">
        <f>3/2*(1-(1-B20/100)^(2/3))-B20/100</f>
        <v>0</v>
      </c>
      <c r="C36">
        <f>$G$36*A36</f>
        <v>0</v>
      </c>
      <c r="D36">
        <f>(B36-C36)^2</f>
        <v>0</v>
      </c>
      <c r="F36" t="s">
        <v>55</v>
      </c>
      <c r="G36">
        <v>2.8580457607042776E-4</v>
      </c>
    </row>
    <row r="37" spans="1:8" ht="17" thickBot="1">
      <c r="A37" s="34">
        <v>5</v>
      </c>
      <c r="B37">
        <f t="shared" ref="B37:B46" si="4">3/2*(1-(1-B21/100)^(2/3))-B21/100</f>
        <v>0</v>
      </c>
      <c r="C37">
        <f t="shared" ref="C37:C46" si="5">$G$36*A37</f>
        <v>1.4290228803521387E-3</v>
      </c>
      <c r="D37">
        <f t="shared" ref="D37:D46" si="6">(B37-C37)^2</f>
        <v>2.0421063925699229E-6</v>
      </c>
      <c r="F37" t="s">
        <v>57</v>
      </c>
      <c r="G37" s="32">
        <v>0.98938632296728335</v>
      </c>
    </row>
    <row r="38" spans="1:8">
      <c r="A38" s="34">
        <v>15</v>
      </c>
      <c r="B38">
        <f t="shared" si="4"/>
        <v>4.3068315528853318E-5</v>
      </c>
      <c r="C38">
        <f t="shared" si="5"/>
        <v>4.2870686410564161E-3</v>
      </c>
      <c r="D38">
        <f t="shared" si="6"/>
        <v>1.801153876307806E-5</v>
      </c>
    </row>
    <row r="39" spans="1:8">
      <c r="A39" s="34">
        <v>30</v>
      </c>
      <c r="B39">
        <f t="shared" si="4"/>
        <v>5.8691242538724819E-5</v>
      </c>
      <c r="C39">
        <f t="shared" si="5"/>
        <v>8.5741372821128321E-3</v>
      </c>
      <c r="D39">
        <f t="shared" si="6"/>
        <v>7.2512821252898355E-5</v>
      </c>
      <c r="F39" t="s">
        <v>59</v>
      </c>
      <c r="G39">
        <f>SUM(D36:D44)</f>
        <v>2.8391397826171248E-3</v>
      </c>
    </row>
    <row r="40" spans="1:8" ht="17" thickBot="1">
      <c r="A40" s="34">
        <v>45</v>
      </c>
      <c r="B40">
        <f t="shared" si="4"/>
        <v>4.4947596781176602E-5</v>
      </c>
      <c r="C40">
        <f t="shared" si="5"/>
        <v>1.286120592316925E-2</v>
      </c>
      <c r="D40">
        <f t="shared" si="6"/>
        <v>1.6425647748871162E-4</v>
      </c>
    </row>
    <row r="41" spans="1:8">
      <c r="A41" s="34">
        <v>60</v>
      </c>
      <c r="B41">
        <f t="shared" si="4"/>
        <v>5.3904981253169448E-5</v>
      </c>
      <c r="C41">
        <f t="shared" si="5"/>
        <v>1.7148274564225664E-2</v>
      </c>
      <c r="D41">
        <f t="shared" si="6"/>
        <v>2.9221747143925525E-4</v>
      </c>
      <c r="F41" s="33"/>
      <c r="G41" s="33" t="s">
        <v>60</v>
      </c>
      <c r="H41" s="33" t="s">
        <v>61</v>
      </c>
    </row>
    <row r="42" spans="1:8">
      <c r="A42" s="34">
        <v>75</v>
      </c>
      <c r="B42">
        <f t="shared" si="4"/>
        <v>4.5423733857120202E-5</v>
      </c>
      <c r="C42">
        <f t="shared" si="5"/>
        <v>2.1435343205282082E-2</v>
      </c>
      <c r="D42">
        <f t="shared" si="6"/>
        <v>4.5752865499404469E-4</v>
      </c>
      <c r="F42" s="31" t="s">
        <v>60</v>
      </c>
      <c r="G42" s="31">
        <v>1</v>
      </c>
      <c r="H42" s="31"/>
    </row>
    <row r="43" spans="1:8" ht="17" thickBot="1">
      <c r="A43" s="34">
        <v>90</v>
      </c>
      <c r="B43">
        <f t="shared" si="4"/>
        <v>4.9822731238401141E-5</v>
      </c>
      <c r="C43">
        <f t="shared" si="5"/>
        <v>2.57224118463385E-2</v>
      </c>
      <c r="D43">
        <f t="shared" si="6"/>
        <v>6.5908183187275606E-4</v>
      </c>
      <c r="F43" s="32" t="s">
        <v>61</v>
      </c>
      <c r="G43" s="32">
        <v>0.98938632296728335</v>
      </c>
      <c r="H43" s="32">
        <v>1</v>
      </c>
    </row>
    <row r="44" spans="1:8">
      <c r="A44" s="34">
        <v>120</v>
      </c>
      <c r="B44">
        <f t="shared" si="4"/>
        <v>4.0325162377501111E-5</v>
      </c>
      <c r="C44">
        <f t="shared" si="5"/>
        <v>3.4296549128451329E-2</v>
      </c>
      <c r="D44">
        <f t="shared" si="6"/>
        <v>1.173488880413811E-3</v>
      </c>
      <c r="F44" s="31"/>
      <c r="G44" s="31"/>
    </row>
    <row r="45" spans="1:8">
      <c r="A45">
        <v>180</v>
      </c>
      <c r="B45">
        <f t="shared" si="4"/>
        <v>4.7353558061929979E-5</v>
      </c>
      <c r="C45">
        <f t="shared" si="5"/>
        <v>5.1444823692677E-2</v>
      </c>
      <c r="D45">
        <f t="shared" si="6"/>
        <v>2.6416999362386482E-3</v>
      </c>
      <c r="F45" s="31"/>
      <c r="G45" s="31"/>
    </row>
    <row r="46" spans="1:8">
      <c r="A46">
        <v>360</v>
      </c>
      <c r="B46">
        <f t="shared" si="4"/>
        <v>4.6867310035239584E-5</v>
      </c>
      <c r="C46">
        <f t="shared" si="5"/>
        <v>0.102889647385354</v>
      </c>
      <c r="D46">
        <f t="shared" si="6"/>
        <v>1.0576637413620381E-2</v>
      </c>
      <c r="F46" s="31"/>
      <c r="G46" s="31"/>
    </row>
    <row r="47" spans="1:8">
      <c r="F47" s="31"/>
      <c r="G47" s="31"/>
    </row>
    <row r="48" spans="1:8" ht="17" thickBot="1">
      <c r="F48" s="32"/>
      <c r="G48" s="32"/>
    </row>
    <row r="50" spans="1:11" ht="17" thickBot="1">
      <c r="A50" s="35" t="s">
        <v>72</v>
      </c>
      <c r="C50" t="s">
        <v>73</v>
      </c>
    </row>
    <row r="51" spans="1:11">
      <c r="A51" t="s">
        <v>52</v>
      </c>
      <c r="B51" t="s">
        <v>53</v>
      </c>
      <c r="C51" t="s">
        <v>54</v>
      </c>
      <c r="D51" t="s">
        <v>58</v>
      </c>
      <c r="F51" s="33"/>
      <c r="G51" s="33"/>
      <c r="H51" s="33"/>
      <c r="I51" s="33"/>
      <c r="J51" s="33"/>
      <c r="K51" s="33"/>
    </row>
    <row r="52" spans="1:11">
      <c r="A52" s="7">
        <v>0</v>
      </c>
      <c r="B52" s="4">
        <f>(2.5)^(1/3)-(2.5/100*(100-B3))^(1/3)</f>
        <v>0</v>
      </c>
      <c r="C52">
        <f>$G$52*A52</f>
        <v>0</v>
      </c>
      <c r="D52" s="26">
        <f t="shared" ref="D52:D62" si="7">(B52-C52)^2</f>
        <v>0</v>
      </c>
      <c r="F52" s="31" t="s">
        <v>55</v>
      </c>
      <c r="G52" s="31">
        <v>6.9483087487940705E-5</v>
      </c>
      <c r="H52" s="31"/>
      <c r="I52" s="31"/>
      <c r="J52" s="31"/>
      <c r="K52" s="31"/>
    </row>
    <row r="53" spans="1:11">
      <c r="A53" s="7">
        <v>5</v>
      </c>
      <c r="B53" s="4">
        <f t="shared" ref="B53:B62" si="8">(2.5)^(1/3)-(2.5/100*(100-B4))^(1/3)</f>
        <v>0</v>
      </c>
      <c r="C53">
        <f t="shared" ref="C53:C62" si="9">$G$52*A53</f>
        <v>3.474154374397035E-4</v>
      </c>
      <c r="D53" s="26">
        <f t="shared" si="7"/>
        <v>1.2069748617142054E-7</v>
      </c>
      <c r="F53" s="31" t="s">
        <v>57</v>
      </c>
      <c r="G53" s="31"/>
      <c r="H53" s="31"/>
      <c r="I53" s="31"/>
      <c r="J53" s="31"/>
      <c r="K53" s="31"/>
    </row>
    <row r="54" spans="1:11" ht="17" thickBot="1">
      <c r="A54" s="7">
        <v>15</v>
      </c>
      <c r="B54" s="4">
        <f t="shared" si="8"/>
        <v>7.2854850817927197E-3</v>
      </c>
      <c r="C54">
        <f t="shared" si="9"/>
        <v>1.0422463123191106E-3</v>
      </c>
      <c r="D54" s="26">
        <f t="shared" si="7"/>
        <v>3.897803033265834E-5</v>
      </c>
      <c r="F54" s="32"/>
      <c r="G54" s="32"/>
      <c r="H54" s="32"/>
      <c r="I54" s="32"/>
      <c r="J54" s="32"/>
      <c r="K54" s="32"/>
    </row>
    <row r="55" spans="1:11">
      <c r="A55" s="7">
        <v>30</v>
      </c>
      <c r="B55" s="4">
        <f t="shared" si="8"/>
        <v>8.5074033499414892E-3</v>
      </c>
      <c r="C55">
        <f t="shared" si="9"/>
        <v>2.0844926246382212E-3</v>
      </c>
      <c r="D55" s="26">
        <f t="shared" si="7"/>
        <v>4.1253782185215747E-5</v>
      </c>
      <c r="F55" t="s">
        <v>59</v>
      </c>
      <c r="G55" s="26">
        <f>SUM(D52:D62)</f>
        <v>4.5108780920695603E-4</v>
      </c>
    </row>
    <row r="56" spans="1:11">
      <c r="A56" s="7">
        <v>45</v>
      </c>
      <c r="B56" s="4">
        <f t="shared" si="8"/>
        <v>7.4430276671519913E-3</v>
      </c>
      <c r="C56">
        <f t="shared" si="9"/>
        <v>3.1267389369573316E-3</v>
      </c>
      <c r="D56" s="26">
        <f t="shared" si="7"/>
        <v>1.8630348402405429E-5</v>
      </c>
    </row>
    <row r="57" spans="1:11">
      <c r="A57" s="7">
        <v>60</v>
      </c>
      <c r="B57" s="4">
        <f t="shared" si="8"/>
        <v>8.1524248240076869E-3</v>
      </c>
      <c r="C57">
        <f t="shared" si="9"/>
        <v>4.1689852492764424E-3</v>
      </c>
      <c r="D57" s="26">
        <f t="shared" si="7"/>
        <v>1.5867790845535037E-5</v>
      </c>
    </row>
    <row r="58" spans="1:11" ht="17" thickBot="1">
      <c r="A58" s="7">
        <v>75</v>
      </c>
      <c r="B58" s="4">
        <f t="shared" si="8"/>
        <v>7.4824190602846841E-3</v>
      </c>
      <c r="C58">
        <f t="shared" si="9"/>
        <v>5.2112315615955532E-3</v>
      </c>
      <c r="D58" s="26">
        <f t="shared" si="7"/>
        <v>5.1582926542017904E-6</v>
      </c>
    </row>
    <row r="59" spans="1:11">
      <c r="A59" s="7">
        <v>90</v>
      </c>
      <c r="B59" s="4">
        <f t="shared" si="8"/>
        <v>7.8370451112343975E-3</v>
      </c>
      <c r="C59">
        <f t="shared" si="9"/>
        <v>6.2534778739146632E-3</v>
      </c>
      <c r="D59" s="26">
        <f t="shared" si="7"/>
        <v>2.5076851951124558E-6</v>
      </c>
      <c r="F59" s="33"/>
      <c r="G59" s="33" t="s">
        <v>60</v>
      </c>
      <c r="H59" s="33" t="s">
        <v>61</v>
      </c>
    </row>
    <row r="60" spans="1:11">
      <c r="A60" s="7">
        <v>120</v>
      </c>
      <c r="B60" s="4">
        <f t="shared" si="8"/>
        <v>7.0492401283981376E-3</v>
      </c>
      <c r="C60">
        <f t="shared" si="9"/>
        <v>8.3379704985528848E-3</v>
      </c>
      <c r="D60" s="26">
        <f t="shared" si="7"/>
        <v>1.6608259669591918E-6</v>
      </c>
      <c r="F60" s="31" t="s">
        <v>60</v>
      </c>
      <c r="G60" s="31">
        <v>1</v>
      </c>
      <c r="H60" s="31"/>
    </row>
    <row r="61" spans="1:11" ht="17" thickBot="1">
      <c r="A61" s="7">
        <v>180</v>
      </c>
      <c r="B61" s="4">
        <f t="shared" si="8"/>
        <v>7.6400076300542352E-3</v>
      </c>
      <c r="C61">
        <f t="shared" si="9"/>
        <v>1.2506955747829326E-2</v>
      </c>
      <c r="D61" s="26">
        <f t="shared" si="7"/>
        <v>2.3687183981114501E-5</v>
      </c>
      <c r="F61" s="32" t="s">
        <v>61</v>
      </c>
      <c r="G61" s="32">
        <v>0.27756246724370121</v>
      </c>
      <c r="H61" s="32">
        <v>1</v>
      </c>
    </row>
    <row r="62" spans="1:11">
      <c r="A62" s="6">
        <v>360</v>
      </c>
      <c r="B62" s="4">
        <f t="shared" si="8"/>
        <v>7.6006070373548784E-3</v>
      </c>
      <c r="C62">
        <f t="shared" si="9"/>
        <v>2.5013911495658653E-2</v>
      </c>
      <c r="D62" s="26">
        <f t="shared" si="7"/>
        <v>3.0322317215758212E-4</v>
      </c>
    </row>
    <row r="66" spans="1:8">
      <c r="A66" t="s">
        <v>80</v>
      </c>
    </row>
    <row r="67" spans="1:8">
      <c r="A67" t="s">
        <v>52</v>
      </c>
      <c r="B67" t="s">
        <v>53</v>
      </c>
      <c r="C67" t="s">
        <v>54</v>
      </c>
      <c r="D67" t="s">
        <v>58</v>
      </c>
    </row>
    <row r="68" spans="1:8">
      <c r="A68" s="7">
        <v>0</v>
      </c>
      <c r="B68" s="4">
        <v>0</v>
      </c>
      <c r="C68">
        <f>$G$68*(A68^$G$70)+$G$69*(A68^(2*$G$70))</f>
        <v>0</v>
      </c>
      <c r="D68" s="26">
        <f>(B68-C68)^2</f>
        <v>0</v>
      </c>
      <c r="F68" t="s">
        <v>81</v>
      </c>
      <c r="G68">
        <v>0.21149371007821594</v>
      </c>
    </row>
    <row r="69" spans="1:8">
      <c r="A69" s="7">
        <v>5</v>
      </c>
      <c r="B69" s="4">
        <v>0</v>
      </c>
      <c r="C69">
        <f t="shared" ref="C69:C78" si="10">$G$68*(A69^$G$70)+$G$69*(A69^(2*$G$70))</f>
        <v>0.42252708903787689</v>
      </c>
      <c r="D69" s="26">
        <f t="shared" ref="D69:D78" si="11">(B69-C69)^2</f>
        <v>0.17852914097082195</v>
      </c>
      <c r="F69" t="s">
        <v>82</v>
      </c>
      <c r="G69">
        <v>0</v>
      </c>
    </row>
    <row r="70" spans="1:8">
      <c r="A70" s="7">
        <v>15</v>
      </c>
      <c r="B70" s="4">
        <v>1.6017682603016954</v>
      </c>
      <c r="C70">
        <f t="shared" si="10"/>
        <v>0.67766756117025595</v>
      </c>
      <c r="D70" s="26">
        <f t="shared" si="11"/>
        <v>0.85396210213521517</v>
      </c>
      <c r="F70" t="s">
        <v>56</v>
      </c>
      <c r="G70">
        <v>0.43</v>
      </c>
    </row>
    <row r="71" spans="1:8">
      <c r="A71" s="7">
        <v>30</v>
      </c>
      <c r="B71" s="4">
        <v>1.8687296370186441</v>
      </c>
      <c r="C71">
        <f t="shared" si="10"/>
        <v>0.912976492361253</v>
      </c>
      <c r="D71" s="26">
        <f t="shared" si="11"/>
        <v>0.91346407352249204</v>
      </c>
      <c r="F71" t="s">
        <v>57</v>
      </c>
      <c r="G71">
        <v>0.9662863578339822</v>
      </c>
    </row>
    <row r="72" spans="1:8">
      <c r="A72" s="7">
        <v>45</v>
      </c>
      <c r="B72" s="4">
        <v>1.6362148895554949</v>
      </c>
      <c r="C72">
        <f t="shared" si="10"/>
        <v>1.086873091399059</v>
      </c>
      <c r="D72" s="26">
        <f t="shared" si="11"/>
        <v>0.30177641120174636</v>
      </c>
    </row>
    <row r="73" spans="1:8">
      <c r="A73" s="7">
        <v>60</v>
      </c>
      <c r="B73" s="4">
        <v>1.7912247211975945</v>
      </c>
      <c r="C73">
        <f t="shared" si="10"/>
        <v>1.2299925853981424</v>
      </c>
      <c r="D73" s="26">
        <f t="shared" si="11"/>
        <v>0.31498151025401461</v>
      </c>
      <c r="F73" t="s">
        <v>59</v>
      </c>
      <c r="G73" s="26">
        <f>SUM(D68:D78)</f>
        <v>3.78578891808551</v>
      </c>
    </row>
    <row r="74" spans="1:8" ht="17" thickBot="1">
      <c r="A74" s="7">
        <v>75</v>
      </c>
      <c r="B74" s="4">
        <v>1.6448265468689449</v>
      </c>
      <c r="C74">
        <f t="shared" si="10"/>
        <v>1.3538601306429974</v>
      </c>
      <c r="D74" s="26">
        <f t="shared" si="11"/>
        <v>8.4661455371371347E-2</v>
      </c>
    </row>
    <row r="75" spans="1:8">
      <c r="A75" s="7">
        <v>90</v>
      </c>
      <c r="B75" s="4">
        <v>1.7223314626899946</v>
      </c>
      <c r="C75">
        <f t="shared" si="10"/>
        <v>1.4642719225246243</v>
      </c>
      <c r="D75" s="26">
        <f t="shared" si="11"/>
        <v>6.6594726270362337E-2</v>
      </c>
      <c r="F75" s="33"/>
      <c r="G75" s="33" t="s">
        <v>60</v>
      </c>
      <c r="H75" s="33" t="s">
        <v>61</v>
      </c>
    </row>
    <row r="76" spans="1:8">
      <c r="A76" s="7">
        <v>120</v>
      </c>
      <c r="B76" s="4">
        <v>1.5500983164209954</v>
      </c>
      <c r="C76">
        <f t="shared" si="10"/>
        <v>1.6570873103442174</v>
      </c>
      <c r="D76" s="26">
        <f t="shared" si="11"/>
        <v>1.144664482070324E-2</v>
      </c>
      <c r="F76" s="31" t="s">
        <v>60</v>
      </c>
      <c r="G76" s="31">
        <v>1</v>
      </c>
      <c r="H76" s="31"/>
    </row>
    <row r="77" spans="1:8" ht="17" thickBot="1">
      <c r="A77" s="7">
        <v>180</v>
      </c>
      <c r="B77" s="4">
        <v>1.6792731761227448</v>
      </c>
      <c r="C77">
        <f t="shared" si="10"/>
        <v>1.9727162996868504</v>
      </c>
      <c r="D77" s="26">
        <f t="shared" si="11"/>
        <v>8.6108866767058895E-2</v>
      </c>
      <c r="F77" s="32" t="s">
        <v>61</v>
      </c>
      <c r="G77" s="32">
        <v>0.65557179894324313</v>
      </c>
      <c r="H77" s="32">
        <v>1</v>
      </c>
    </row>
    <row r="78" spans="1:8">
      <c r="A78" s="6">
        <v>360</v>
      </c>
      <c r="B78" s="4">
        <v>1.670661518809295</v>
      </c>
      <c r="C78">
        <f t="shared" si="10"/>
        <v>2.6577096365683657</v>
      </c>
      <c r="D78" s="26">
        <f t="shared" si="11"/>
        <v>0.97426398677172421</v>
      </c>
    </row>
  </sheetData>
  <scenarios current="0" show="0" sqref="G6">
    <scenario name="test" locked="1" count="2" user="Microsoft Office User" comment="Created by Microsoft Office User on 16/9/2019">
      <inputCells r="G3" val="0.5"/>
      <inputCells r="G4" val="0.5"/>
    </scenario>
  </scenario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10 Jul 2019</vt:lpstr>
      <vt:lpstr>11 Jul 2019</vt:lpstr>
      <vt:lpstr>23 Jul 2019</vt:lpstr>
      <vt:lpstr>stat</vt:lpstr>
      <vt:lpstr>Model fit</vt:lpstr>
      <vt:lpstr>Model fit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Weng Jingwen</cp:lastModifiedBy>
  <dcterms:created xsi:type="dcterms:W3CDTF">2018-10-10T02:52:28Z</dcterms:created>
  <dcterms:modified xsi:type="dcterms:W3CDTF">2022-04-29T04:34:57Z</dcterms:modified>
</cp:coreProperties>
</file>