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tables/table4.xml" ContentType="application/vnd.openxmlformats-officedocument.spreadsheetml.tab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6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onnecthkuhk-my.sharepoint.com/personal/irenewjw_connect_hku_hk/Documents/Thesis/Data/Nano release/"/>
    </mc:Choice>
  </mc:AlternateContent>
  <xr:revisionPtr revIDLastSave="173" documentId="114_{62C0316D-E5A7-4A4B-B014-09E762CDCEFA}" xr6:coauthVersionLast="47" xr6:coauthVersionMax="47" xr10:uidLastSave="{B932D0F7-CA45-6040-8901-1B126F783904}"/>
  <bookViews>
    <workbookView xWindow="13940" yWindow="600" windowWidth="27640" windowHeight="15440" activeTab="7" xr2:uid="{8FAE01B9-6B88-4740-BD2B-8AD2E83FA04A}"/>
  </bookViews>
  <sheets>
    <sheet name="7 AUG 2019" sheetId="2" r:id="rId1"/>
    <sheet name="12 AUG 2019" sheetId="3" r:id="rId2"/>
    <sheet name="16 AUG 2019" sheetId="6" r:id="rId3"/>
    <sheet name="28 AUG 2019" sheetId="5" r:id="rId4"/>
    <sheet name="stat" sheetId="7" r:id="rId5"/>
    <sheet name="Model fit" sheetId="8" r:id="rId6"/>
    <sheet name="Sheet1" sheetId="10" r:id="rId7"/>
    <sheet name="Model fit (2)" sheetId="9" r:id="rId8"/>
  </sheets>
  <definedNames>
    <definedName name="solver_adj" localSheetId="5" hidden="1">'Model fit'!$G$20</definedName>
    <definedName name="solver_adj" localSheetId="7" hidden="1">'Model fit (2)'!$G$68:$G$69</definedName>
    <definedName name="solver_cvg" localSheetId="5" hidden="1">0.0001</definedName>
    <definedName name="solver_cvg" localSheetId="7" hidden="1">0.0001</definedName>
    <definedName name="solver_drv" localSheetId="5" hidden="1">1</definedName>
    <definedName name="solver_drv" localSheetId="7" hidden="1">1</definedName>
    <definedName name="solver_eng" localSheetId="5" hidden="1">1</definedName>
    <definedName name="solver_eng" localSheetId="7" hidden="1">1</definedName>
    <definedName name="solver_itr" localSheetId="5" hidden="1">2147483647</definedName>
    <definedName name="solver_itr" localSheetId="7" hidden="1">2147483647</definedName>
    <definedName name="solver_lhs1" localSheetId="5" hidden="1">'Model fit'!$G$4:$G$5</definedName>
    <definedName name="solver_lhs1" localSheetId="7" hidden="1">'Model fit (2)'!$G$52</definedName>
    <definedName name="solver_lin" localSheetId="5" hidden="1">2</definedName>
    <definedName name="solver_lin" localSheetId="7" hidden="1">2</definedName>
    <definedName name="solver_mip" localSheetId="5" hidden="1">2147483647</definedName>
    <definedName name="solver_mip" localSheetId="7" hidden="1">2147483647</definedName>
    <definedName name="solver_mni" localSheetId="5" hidden="1">30</definedName>
    <definedName name="solver_mni" localSheetId="7" hidden="1">30</definedName>
    <definedName name="solver_mrt" localSheetId="5" hidden="1">0.075</definedName>
    <definedName name="solver_mrt" localSheetId="7" hidden="1">0.075</definedName>
    <definedName name="solver_msl" localSheetId="5" hidden="1">2</definedName>
    <definedName name="solver_msl" localSheetId="7" hidden="1">2</definedName>
    <definedName name="solver_neg" localSheetId="5" hidden="1">1</definedName>
    <definedName name="solver_neg" localSheetId="7" hidden="1">1</definedName>
    <definedName name="solver_nod" localSheetId="5" hidden="1">2147483647</definedName>
    <definedName name="solver_nod" localSheetId="7" hidden="1">2147483647</definedName>
    <definedName name="solver_num" localSheetId="5" hidden="1">0</definedName>
    <definedName name="solver_num" localSheetId="7" hidden="1">1</definedName>
    <definedName name="solver_opt" localSheetId="5" hidden="1">'Model fit'!$G$25</definedName>
    <definedName name="solver_opt" localSheetId="7" hidden="1">'Model fit (2)'!$G$73</definedName>
    <definedName name="solver_pre" localSheetId="5" hidden="1">0.000001</definedName>
    <definedName name="solver_pre" localSheetId="7" hidden="1">0.000001</definedName>
    <definedName name="solver_rbv" localSheetId="5" hidden="1">1</definedName>
    <definedName name="solver_rbv" localSheetId="7" hidden="1">1</definedName>
    <definedName name="solver_rel1" localSheetId="5" hidden="1">3</definedName>
    <definedName name="solver_rel1" localSheetId="7" hidden="1">3</definedName>
    <definedName name="solver_rhs1" localSheetId="5" hidden="1">0</definedName>
    <definedName name="solver_rhs1" localSheetId="7" hidden="1">0</definedName>
    <definedName name="solver_rlx" localSheetId="5" hidden="1">2</definedName>
    <definedName name="solver_rlx" localSheetId="7" hidden="1">2</definedName>
    <definedName name="solver_rsd" localSheetId="5" hidden="1">0</definedName>
    <definedName name="solver_rsd" localSheetId="7" hidden="1">0</definedName>
    <definedName name="solver_scl" localSheetId="5" hidden="1">1</definedName>
    <definedName name="solver_scl" localSheetId="7" hidden="1">1</definedName>
    <definedName name="solver_sho" localSheetId="5" hidden="1">2</definedName>
    <definedName name="solver_sho" localSheetId="7" hidden="1">2</definedName>
    <definedName name="solver_ssz" localSheetId="5" hidden="1">100</definedName>
    <definedName name="solver_ssz" localSheetId="7" hidden="1">100</definedName>
    <definedName name="solver_tim" localSheetId="5" hidden="1">2147483647</definedName>
    <definedName name="solver_tim" localSheetId="7" hidden="1">2147483647</definedName>
    <definedName name="solver_tol" localSheetId="5" hidden="1">0.01</definedName>
    <definedName name="solver_tol" localSheetId="7" hidden="1">0.01</definedName>
    <definedName name="solver_typ" localSheetId="5" hidden="1">2</definedName>
    <definedName name="solver_typ" localSheetId="7" hidden="1">2</definedName>
    <definedName name="solver_val" localSheetId="5" hidden="1">0</definedName>
    <definedName name="solver_val" localSheetId="7" hidden="1">0</definedName>
    <definedName name="solver_ver" localSheetId="5" hidden="1">2</definedName>
    <definedName name="solver_ver" localSheetId="7" hidden="1">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69" i="9" l="1"/>
  <c r="D69" i="9" s="1"/>
  <c r="C70" i="9"/>
  <c r="D70" i="9" s="1"/>
  <c r="C71" i="9"/>
  <c r="D71" i="9" s="1"/>
  <c r="C68" i="9"/>
  <c r="D68" i="9" s="1"/>
  <c r="C78" i="9"/>
  <c r="D78" i="9" s="1"/>
  <c r="C77" i="9"/>
  <c r="D77" i="9" s="1"/>
  <c r="C76" i="9"/>
  <c r="D76" i="9" s="1"/>
  <c r="C75" i="9"/>
  <c r="D75" i="9" s="1"/>
  <c r="C74" i="9"/>
  <c r="D74" i="9" s="1"/>
  <c r="C73" i="9"/>
  <c r="D73" i="9" s="1"/>
  <c r="C21" i="9"/>
  <c r="C22" i="9"/>
  <c r="C23" i="9"/>
  <c r="C24" i="9"/>
  <c r="C25" i="9"/>
  <c r="C26" i="9"/>
  <c r="C27" i="9"/>
  <c r="C28" i="9"/>
  <c r="C29" i="9"/>
  <c r="C30" i="9"/>
  <c r="C20" i="9"/>
  <c r="C20" i="8"/>
  <c r="C22" i="8"/>
  <c r="C23" i="8"/>
  <c r="C24" i="8"/>
  <c r="C25" i="8"/>
  <c r="C26" i="8"/>
  <c r="C27" i="8"/>
  <c r="C28" i="8"/>
  <c r="C29" i="8"/>
  <c r="C30" i="8"/>
  <c r="C21" i="8"/>
  <c r="C60" i="3"/>
  <c r="C59" i="3"/>
  <c r="C58" i="3"/>
  <c r="C87" i="3"/>
  <c r="C86" i="3"/>
  <c r="C53" i="3"/>
  <c r="C54" i="3"/>
  <c r="C52" i="3"/>
  <c r="C55" i="3" s="1"/>
  <c r="C78" i="3"/>
  <c r="C79" i="3"/>
  <c r="C77" i="3"/>
  <c r="C42" i="3"/>
  <c r="F92" i="3"/>
  <c r="F93" i="3" s="1"/>
  <c r="F84" i="3"/>
  <c r="F83" i="3"/>
  <c r="G73" i="9" l="1"/>
  <c r="C72" i="9" s="1"/>
  <c r="D72" i="9" s="1"/>
  <c r="C56" i="3"/>
  <c r="C62" i="3"/>
  <c r="C61" i="3"/>
  <c r="I85" i="3"/>
  <c r="J85" i="3" s="1"/>
  <c r="J78" i="3"/>
  <c r="C80" i="3" l="1"/>
  <c r="C88" i="3"/>
  <c r="C89" i="3" s="1"/>
  <c r="C62" i="9"/>
  <c r="B62" i="9"/>
  <c r="C61" i="9"/>
  <c r="B61" i="9"/>
  <c r="C60" i="9"/>
  <c r="B60" i="9"/>
  <c r="C59" i="9"/>
  <c r="B59" i="9"/>
  <c r="C58" i="9"/>
  <c r="B58" i="9"/>
  <c r="C57" i="9"/>
  <c r="B57" i="9"/>
  <c r="C56" i="9"/>
  <c r="B56" i="9"/>
  <c r="C55" i="9"/>
  <c r="B55" i="9"/>
  <c r="C54" i="9"/>
  <c r="B54" i="9"/>
  <c r="C53" i="9"/>
  <c r="B53" i="9"/>
  <c r="C52" i="9"/>
  <c r="B52" i="9"/>
  <c r="D58" i="9" l="1"/>
  <c r="D61" i="9"/>
  <c r="D52" i="9"/>
  <c r="D60" i="9"/>
  <c r="D62" i="9"/>
  <c r="D55" i="9"/>
  <c r="D56" i="9"/>
  <c r="D57" i="9"/>
  <c r="D53" i="9"/>
  <c r="D59" i="9"/>
  <c r="D54" i="9"/>
  <c r="B37" i="9"/>
  <c r="B38" i="9"/>
  <c r="B39" i="9"/>
  <c r="B40" i="9"/>
  <c r="B41" i="9"/>
  <c r="B42" i="9"/>
  <c r="B43" i="9"/>
  <c r="B44" i="9"/>
  <c r="B45" i="9"/>
  <c r="B46" i="9"/>
  <c r="B36" i="9"/>
  <c r="G55" i="9" l="1"/>
  <c r="G13" i="7"/>
  <c r="E28" i="2" l="1"/>
  <c r="E27" i="2"/>
  <c r="E26" i="2"/>
  <c r="E30" i="2" s="1"/>
  <c r="E29" i="2" l="1"/>
  <c r="C46" i="9"/>
  <c r="C45" i="9"/>
  <c r="C44" i="9"/>
  <c r="C43" i="9"/>
  <c r="C42" i="9"/>
  <c r="C41" i="9"/>
  <c r="D41" i="9" s="1"/>
  <c r="C40" i="9"/>
  <c r="C39" i="9"/>
  <c r="C38" i="9"/>
  <c r="C37" i="9"/>
  <c r="C36" i="9"/>
  <c r="D30" i="9"/>
  <c r="D29" i="9"/>
  <c r="D28" i="9"/>
  <c r="D27" i="9"/>
  <c r="D26" i="9"/>
  <c r="D25" i="9"/>
  <c r="D24" i="9"/>
  <c r="D23" i="9"/>
  <c r="D22" i="9"/>
  <c r="D21" i="9"/>
  <c r="D20" i="9"/>
  <c r="C13" i="9"/>
  <c r="D13" i="9" s="1"/>
  <c r="C12" i="9"/>
  <c r="D12" i="9" s="1"/>
  <c r="C11" i="9"/>
  <c r="C10" i="9"/>
  <c r="D10" i="9" s="1"/>
  <c r="C9" i="9"/>
  <c r="D9" i="9" s="1"/>
  <c r="C8" i="9"/>
  <c r="D8" i="9" s="1"/>
  <c r="C7" i="9"/>
  <c r="D7" i="9" s="1"/>
  <c r="C6" i="9"/>
  <c r="C5" i="9"/>
  <c r="D5" i="9" s="1"/>
  <c r="C4" i="9"/>
  <c r="D4" i="9" s="1"/>
  <c r="C3" i="9"/>
  <c r="C3" i="8"/>
  <c r="D3" i="8" s="1"/>
  <c r="C4" i="8"/>
  <c r="D4" i="8" s="1"/>
  <c r="C5" i="8"/>
  <c r="D5" i="8" s="1"/>
  <c r="C6" i="8"/>
  <c r="D6" i="8" s="1"/>
  <c r="C7" i="8"/>
  <c r="D7" i="8" s="1"/>
  <c r="C8" i="8"/>
  <c r="D8" i="8" s="1"/>
  <c r="C9" i="8"/>
  <c r="D9" i="8" s="1"/>
  <c r="C10" i="8"/>
  <c r="C11" i="8"/>
  <c r="D11" i="8" s="1"/>
  <c r="C12" i="8"/>
  <c r="D12" i="8" s="1"/>
  <c r="C13" i="8"/>
  <c r="D13" i="8" s="1"/>
  <c r="D20" i="8"/>
  <c r="D21" i="8"/>
  <c r="D22" i="8"/>
  <c r="D23" i="8"/>
  <c r="D24" i="8"/>
  <c r="D25" i="8"/>
  <c r="D26" i="8"/>
  <c r="D27" i="8"/>
  <c r="D28" i="8"/>
  <c r="D29" i="8"/>
  <c r="D30" i="8"/>
  <c r="B36" i="8"/>
  <c r="C36" i="8"/>
  <c r="B37" i="8"/>
  <c r="C37" i="8"/>
  <c r="B38" i="8"/>
  <c r="C38" i="8"/>
  <c r="B39" i="8"/>
  <c r="C39" i="8"/>
  <c r="B40" i="8"/>
  <c r="C40" i="8"/>
  <c r="B41" i="8"/>
  <c r="C41" i="8"/>
  <c r="B42" i="8"/>
  <c r="C42" i="8"/>
  <c r="D42" i="8" s="1"/>
  <c r="B43" i="8"/>
  <c r="C43" i="8"/>
  <c r="B44" i="8"/>
  <c r="C44" i="8"/>
  <c r="B45" i="8"/>
  <c r="C45" i="8"/>
  <c r="B46" i="8"/>
  <c r="C46" i="8"/>
  <c r="D37" i="8" l="1"/>
  <c r="G25" i="8"/>
  <c r="G7" i="8"/>
  <c r="D39" i="9"/>
  <c r="D36" i="9"/>
  <c r="D45" i="9"/>
  <c r="D42" i="9"/>
  <c r="D46" i="9"/>
  <c r="D37" i="9"/>
  <c r="D43" i="9"/>
  <c r="D38" i="9"/>
  <c r="G24" i="9"/>
  <c r="D44" i="9"/>
  <c r="D40" i="9"/>
  <c r="D3" i="9"/>
  <c r="G7" i="9" s="1"/>
  <c r="D11" i="9"/>
  <c r="D6" i="9"/>
  <c r="D36" i="8"/>
  <c r="D45" i="8"/>
  <c r="D43" i="8"/>
  <c r="D41" i="8"/>
  <c r="D39" i="8"/>
  <c r="D46" i="8"/>
  <c r="D44" i="8"/>
  <c r="D40" i="8"/>
  <c r="D38" i="8"/>
  <c r="D10" i="8"/>
  <c r="B12" i="7"/>
  <c r="B6" i="7"/>
  <c r="G39" i="9" l="1"/>
  <c r="G39" i="8"/>
  <c r="C36" i="6"/>
  <c r="D36" i="6" s="1"/>
  <c r="E36" i="6" s="1"/>
  <c r="C37" i="6"/>
  <c r="D37" i="6" s="1"/>
  <c r="E37" i="6" s="1"/>
  <c r="C38" i="6"/>
  <c r="D38" i="6"/>
  <c r="E38" i="6" s="1"/>
  <c r="C39" i="6"/>
  <c r="D39" i="6" s="1"/>
  <c r="E39" i="6" s="1"/>
  <c r="C40" i="6"/>
  <c r="D40" i="6" s="1"/>
  <c r="E40" i="6" s="1"/>
  <c r="C41" i="6"/>
  <c r="D41" i="6" s="1"/>
  <c r="E41" i="6" s="1"/>
  <c r="C42" i="6"/>
  <c r="D42" i="6" s="1"/>
  <c r="E42" i="6" s="1"/>
  <c r="C43" i="6"/>
  <c r="D43" i="6" s="1"/>
  <c r="E43" i="6" s="1"/>
  <c r="C44" i="6"/>
  <c r="D44" i="6" s="1"/>
  <c r="E44" i="6" s="1"/>
  <c r="C45" i="6"/>
  <c r="D45" i="6" s="1"/>
  <c r="E45" i="6" s="1"/>
  <c r="I36" i="6"/>
  <c r="J36" i="6" s="1"/>
  <c r="K36" i="6" s="1"/>
  <c r="I37" i="6"/>
  <c r="J37" i="6" s="1"/>
  <c r="K37" i="6" s="1"/>
  <c r="I38" i="6"/>
  <c r="J38" i="6" s="1"/>
  <c r="K38" i="6" s="1"/>
  <c r="I39" i="6"/>
  <c r="J39" i="6" s="1"/>
  <c r="K39" i="6" s="1"/>
  <c r="I40" i="6"/>
  <c r="J40" i="6" s="1"/>
  <c r="K40" i="6" s="1"/>
  <c r="I41" i="6"/>
  <c r="J41" i="6" s="1"/>
  <c r="K41" i="6" s="1"/>
  <c r="I42" i="6"/>
  <c r="J42" i="6" s="1"/>
  <c r="K42" i="6" s="1"/>
  <c r="I43" i="6"/>
  <c r="J43" i="6"/>
  <c r="K43" i="6" s="1"/>
  <c r="I44" i="6"/>
  <c r="J44" i="6" s="1"/>
  <c r="K44" i="6" s="1"/>
  <c r="I45" i="6"/>
  <c r="J45" i="6" s="1"/>
  <c r="K45" i="6" s="1"/>
  <c r="O35" i="6"/>
  <c r="P35" i="6" s="1"/>
  <c r="O36" i="6"/>
  <c r="P36" i="6" s="1"/>
  <c r="Q36" i="6" s="1"/>
  <c r="O37" i="6"/>
  <c r="P37" i="6" s="1"/>
  <c r="Q37" i="6" s="1"/>
  <c r="O38" i="6"/>
  <c r="P38" i="6" s="1"/>
  <c r="Q38" i="6" s="1"/>
  <c r="O39" i="6"/>
  <c r="P39" i="6" s="1"/>
  <c r="Q39" i="6" s="1"/>
  <c r="O40" i="6"/>
  <c r="P40" i="6"/>
  <c r="Q40" i="6"/>
  <c r="O41" i="6"/>
  <c r="P41" i="6" s="1"/>
  <c r="Q41" i="6" s="1"/>
  <c r="O42" i="6"/>
  <c r="P42" i="6" s="1"/>
  <c r="Q42" i="6" s="1"/>
  <c r="O43" i="6"/>
  <c r="P43" i="6" s="1"/>
  <c r="Q43" i="6" s="1"/>
  <c r="O44" i="6"/>
  <c r="P44" i="6" s="1"/>
  <c r="Q44" i="6" s="1"/>
  <c r="O45" i="6"/>
  <c r="P45" i="6" s="1"/>
  <c r="Q45" i="6" s="1"/>
  <c r="T51" i="6"/>
  <c r="S51" i="6"/>
  <c r="T35" i="6"/>
  <c r="S35" i="6"/>
  <c r="B28" i="6"/>
  <c r="B27" i="6"/>
  <c r="B26" i="6"/>
  <c r="A10" i="6"/>
  <c r="B10" i="6" s="1"/>
  <c r="B3" i="6"/>
  <c r="B29" i="6" l="1"/>
  <c r="T36" i="6"/>
  <c r="S36" i="6"/>
  <c r="S37" i="6"/>
  <c r="T37" i="6"/>
  <c r="T45" i="6"/>
  <c r="S45" i="6"/>
  <c r="S52" i="6"/>
  <c r="T52" i="6"/>
  <c r="T59" i="6"/>
  <c r="S59" i="6"/>
  <c r="S60" i="6"/>
  <c r="T60" i="6"/>
  <c r="T38" i="6"/>
  <c r="S38" i="6"/>
  <c r="T54" i="6"/>
  <c r="S54" i="6"/>
  <c r="T61" i="6"/>
  <c r="S61" i="6"/>
  <c r="T39" i="6"/>
  <c r="S39" i="6"/>
  <c r="T53" i="6"/>
  <c r="S53" i="6"/>
  <c r="T40" i="6"/>
  <c r="S40" i="6"/>
  <c r="S41" i="6"/>
  <c r="T42" i="6"/>
  <c r="S42" i="6"/>
  <c r="T55" i="6"/>
  <c r="S55" i="6"/>
  <c r="S56" i="6"/>
  <c r="T56" i="6"/>
  <c r="T43" i="6"/>
  <c r="S43" i="6"/>
  <c r="S44" i="6"/>
  <c r="T44" i="6"/>
  <c r="T57" i="6"/>
  <c r="S57" i="6"/>
  <c r="T58" i="6"/>
  <c r="S58" i="6"/>
  <c r="O53" i="5" l="1"/>
  <c r="P53" i="5" s="1"/>
  <c r="Q53" i="5" s="1"/>
  <c r="O54" i="5"/>
  <c r="P54" i="5" s="1"/>
  <c r="Q54" i="5" s="1"/>
  <c r="O55" i="5"/>
  <c r="P55" i="5" s="1"/>
  <c r="Q55" i="5" s="1"/>
  <c r="O56" i="5"/>
  <c r="P56" i="5" s="1"/>
  <c r="Q56" i="5" s="1"/>
  <c r="O57" i="5"/>
  <c r="P57" i="5" s="1"/>
  <c r="Q57" i="5" s="1"/>
  <c r="O58" i="5"/>
  <c r="P58" i="5" s="1"/>
  <c r="Q58" i="5" s="1"/>
  <c r="O59" i="5"/>
  <c r="P59" i="5" s="1"/>
  <c r="Q59" i="5" s="1"/>
  <c r="O60" i="5"/>
  <c r="P60" i="5" s="1"/>
  <c r="Q60" i="5" s="1"/>
  <c r="O61" i="5"/>
  <c r="P61" i="5" s="1"/>
  <c r="Q61" i="5" s="1"/>
  <c r="O52" i="5"/>
  <c r="P52" i="5" s="1"/>
  <c r="Q52" i="5" s="1"/>
  <c r="I53" i="5"/>
  <c r="J53" i="5" s="1"/>
  <c r="K53" i="5" s="1"/>
  <c r="I54" i="5"/>
  <c r="J54" i="5" s="1"/>
  <c r="K54" i="5" s="1"/>
  <c r="I55" i="5"/>
  <c r="J55" i="5" s="1"/>
  <c r="K55" i="5" s="1"/>
  <c r="I56" i="5"/>
  <c r="J56" i="5" s="1"/>
  <c r="K56" i="5" s="1"/>
  <c r="I57" i="5"/>
  <c r="J57" i="5" s="1"/>
  <c r="K57" i="5" s="1"/>
  <c r="I58" i="5"/>
  <c r="J58" i="5" s="1"/>
  <c r="K58" i="5" s="1"/>
  <c r="I59" i="5"/>
  <c r="J59" i="5" s="1"/>
  <c r="K59" i="5" s="1"/>
  <c r="I60" i="5"/>
  <c r="J60" i="5" s="1"/>
  <c r="K60" i="5" s="1"/>
  <c r="I61" i="5"/>
  <c r="J61" i="5" s="1"/>
  <c r="K61" i="5" s="1"/>
  <c r="I52" i="5"/>
  <c r="J52" i="5" s="1"/>
  <c r="K52" i="5" s="1"/>
  <c r="C53" i="5"/>
  <c r="C54" i="5"/>
  <c r="C55" i="5"/>
  <c r="D55" i="5" s="1"/>
  <c r="C56" i="5"/>
  <c r="D56" i="5" s="1"/>
  <c r="C57" i="5"/>
  <c r="C58" i="5"/>
  <c r="C59" i="5"/>
  <c r="D59" i="5" s="1"/>
  <c r="C60" i="5"/>
  <c r="D60" i="5" s="1"/>
  <c r="C61" i="5"/>
  <c r="C52" i="5"/>
  <c r="B3" i="5"/>
  <c r="T51" i="5"/>
  <c r="S51" i="5"/>
  <c r="O51" i="5"/>
  <c r="P51" i="5" s="1"/>
  <c r="I51" i="5"/>
  <c r="J51" i="5" s="1"/>
  <c r="T35" i="5"/>
  <c r="S35" i="5"/>
  <c r="B28" i="5"/>
  <c r="B27" i="5"/>
  <c r="B26" i="5"/>
  <c r="A10" i="5"/>
  <c r="B10" i="5" s="1"/>
  <c r="D58" i="5" l="1"/>
  <c r="E58" i="5" s="1"/>
  <c r="B29" i="5"/>
  <c r="D61" i="5"/>
  <c r="E61" i="5" s="1"/>
  <c r="D57" i="5"/>
  <c r="E57" i="5" s="1"/>
  <c r="D54" i="5"/>
  <c r="E54" i="5" s="1"/>
  <c r="D53" i="5"/>
  <c r="E53" i="5" s="1"/>
  <c r="D52" i="5"/>
  <c r="E52" i="5" s="1"/>
  <c r="E55" i="5"/>
  <c r="T55" i="5" s="1"/>
  <c r="E59" i="5"/>
  <c r="S41" i="5"/>
  <c r="E60" i="5"/>
  <c r="S60" i="5" s="1"/>
  <c r="E56" i="5"/>
  <c r="T56" i="5" s="1"/>
  <c r="S44" i="5"/>
  <c r="S37" i="5"/>
  <c r="T42" i="5"/>
  <c r="S42" i="5"/>
  <c r="S40" i="5"/>
  <c r="T40" i="5"/>
  <c r="S36" i="5"/>
  <c r="T36" i="5"/>
  <c r="T38" i="5"/>
  <c r="T39" i="5"/>
  <c r="S39" i="5"/>
  <c r="S43" i="5"/>
  <c r="T43" i="5"/>
  <c r="T45" i="5"/>
  <c r="T37" i="5"/>
  <c r="T44" i="5"/>
  <c r="S38" i="5"/>
  <c r="S45" i="5"/>
  <c r="O39" i="3"/>
  <c r="P39" i="3" s="1"/>
  <c r="Q39" i="3" s="1"/>
  <c r="O40" i="3"/>
  <c r="P40" i="3" s="1"/>
  <c r="Q40" i="3" s="1"/>
  <c r="O41" i="3"/>
  <c r="P41" i="3" s="1"/>
  <c r="Q41" i="3" s="1"/>
  <c r="O42" i="3"/>
  <c r="P42" i="3" s="1"/>
  <c r="Q42" i="3" s="1"/>
  <c r="O43" i="3"/>
  <c r="P43" i="3" s="1"/>
  <c r="Q43" i="3" s="1"/>
  <c r="O44" i="3"/>
  <c r="P44" i="3" s="1"/>
  <c r="Q44" i="3" s="1"/>
  <c r="O45" i="3"/>
  <c r="P45" i="3" s="1"/>
  <c r="Q45" i="3" s="1"/>
  <c r="O46" i="3"/>
  <c r="P46" i="3" s="1"/>
  <c r="Q46" i="3" s="1"/>
  <c r="O47" i="3"/>
  <c r="P47" i="3" s="1"/>
  <c r="Q47" i="3" s="1"/>
  <c r="O38" i="3"/>
  <c r="P38" i="3" s="1"/>
  <c r="Q38" i="3" s="1"/>
  <c r="I39" i="3"/>
  <c r="J39" i="3" s="1"/>
  <c r="K39" i="3" s="1"/>
  <c r="I40" i="3"/>
  <c r="J40" i="3" s="1"/>
  <c r="K40" i="3" s="1"/>
  <c r="I41" i="3"/>
  <c r="J41" i="3" s="1"/>
  <c r="K41" i="3" s="1"/>
  <c r="I42" i="3"/>
  <c r="J42" i="3" s="1"/>
  <c r="K42" i="3" s="1"/>
  <c r="I43" i="3"/>
  <c r="J43" i="3" s="1"/>
  <c r="K43" i="3" s="1"/>
  <c r="I44" i="3"/>
  <c r="J44" i="3" s="1"/>
  <c r="K44" i="3" s="1"/>
  <c r="I45" i="3"/>
  <c r="J45" i="3" s="1"/>
  <c r="K45" i="3" s="1"/>
  <c r="I46" i="3"/>
  <c r="J46" i="3" s="1"/>
  <c r="K46" i="3" s="1"/>
  <c r="I47" i="3"/>
  <c r="J47" i="3" s="1"/>
  <c r="K47" i="3" s="1"/>
  <c r="I38" i="3"/>
  <c r="J38" i="3" s="1"/>
  <c r="K38" i="3" s="1"/>
  <c r="C39" i="3"/>
  <c r="D39" i="3" s="1"/>
  <c r="C40" i="3"/>
  <c r="D40" i="3" s="1"/>
  <c r="C41" i="3"/>
  <c r="D41" i="3" s="1"/>
  <c r="D42" i="3"/>
  <c r="C43" i="3"/>
  <c r="D43" i="3" s="1"/>
  <c r="C44" i="3"/>
  <c r="D44" i="3" s="1"/>
  <c r="C45" i="3"/>
  <c r="D45" i="3" s="1"/>
  <c r="C46" i="3"/>
  <c r="D46" i="3" s="1"/>
  <c r="C47" i="3"/>
  <c r="D47" i="3" s="1"/>
  <c r="C38" i="3"/>
  <c r="D38" i="3" s="1"/>
  <c r="E38" i="3" s="1"/>
  <c r="B28" i="3"/>
  <c r="B27" i="3"/>
  <c r="B26" i="3"/>
  <c r="S58" i="5" l="1"/>
  <c r="T58" i="5"/>
  <c r="V58" i="5" s="1"/>
  <c r="B29" i="3"/>
  <c r="S61" i="5"/>
  <c r="T61" i="5"/>
  <c r="V61" i="5" s="1"/>
  <c r="T57" i="5"/>
  <c r="S57" i="5"/>
  <c r="S56" i="5"/>
  <c r="V56" i="5" s="1"/>
  <c r="S55" i="5"/>
  <c r="V55" i="5" s="1"/>
  <c r="T54" i="5"/>
  <c r="S54" i="5"/>
  <c r="T53" i="5"/>
  <c r="S53" i="5"/>
  <c r="S52" i="5"/>
  <c r="T52" i="5"/>
  <c r="T60" i="5"/>
  <c r="V60" i="5" s="1"/>
  <c r="S59" i="5"/>
  <c r="T59" i="5"/>
  <c r="V59" i="5" s="1"/>
  <c r="O53" i="2"/>
  <c r="P53" i="2" s="1"/>
  <c r="O54" i="2"/>
  <c r="P54" i="2" s="1"/>
  <c r="O55" i="2"/>
  <c r="P55" i="2" s="1"/>
  <c r="Q55" i="2" s="1"/>
  <c r="O56" i="2"/>
  <c r="P56" i="2" s="1"/>
  <c r="Q56" i="2" s="1"/>
  <c r="O57" i="2"/>
  <c r="P57" i="2" s="1"/>
  <c r="O58" i="2"/>
  <c r="P58" i="2" s="1"/>
  <c r="O59" i="2"/>
  <c r="P59" i="2" s="1"/>
  <c r="Q59" i="2" s="1"/>
  <c r="O60" i="2"/>
  <c r="P60" i="2" s="1"/>
  <c r="Q60" i="2" s="1"/>
  <c r="O61" i="2"/>
  <c r="P61" i="2" s="1"/>
  <c r="O52" i="2"/>
  <c r="P52" i="2" s="1"/>
  <c r="I53" i="2"/>
  <c r="J53" i="2" s="1"/>
  <c r="I54" i="2"/>
  <c r="J54" i="2" s="1"/>
  <c r="I55" i="2"/>
  <c r="J55" i="2" s="1"/>
  <c r="K55" i="2" s="1"/>
  <c r="I56" i="2"/>
  <c r="J56" i="2" s="1"/>
  <c r="K56" i="2" s="1"/>
  <c r="I57" i="2"/>
  <c r="J57" i="2" s="1"/>
  <c r="K57" i="2" s="1"/>
  <c r="I58" i="2"/>
  <c r="I59" i="2"/>
  <c r="J59" i="2" s="1"/>
  <c r="K59" i="2" s="1"/>
  <c r="I60" i="2"/>
  <c r="J60" i="2" s="1"/>
  <c r="K60" i="2" s="1"/>
  <c r="I61" i="2"/>
  <c r="J61" i="2" s="1"/>
  <c r="K61" i="2" s="1"/>
  <c r="I52" i="2"/>
  <c r="J52" i="2" s="1"/>
  <c r="C53" i="2"/>
  <c r="D53" i="2" s="1"/>
  <c r="C54" i="2"/>
  <c r="D54" i="2" s="1"/>
  <c r="C55" i="2"/>
  <c r="D55" i="2" s="1"/>
  <c r="E55" i="2" s="1"/>
  <c r="C56" i="2"/>
  <c r="D56" i="2" s="1"/>
  <c r="E56" i="2" s="1"/>
  <c r="C57" i="2"/>
  <c r="C58" i="2"/>
  <c r="D58" i="2" s="1"/>
  <c r="C59" i="2"/>
  <c r="D59" i="2" s="1"/>
  <c r="E59" i="2" s="1"/>
  <c r="C60" i="2"/>
  <c r="D60" i="2" s="1"/>
  <c r="E60" i="2" s="1"/>
  <c r="C61" i="2"/>
  <c r="D61" i="2" s="1"/>
  <c r="C52" i="2"/>
  <c r="D52" i="2" s="1"/>
  <c r="O37" i="2"/>
  <c r="P37" i="2" s="1"/>
  <c r="Q37" i="2" s="1"/>
  <c r="O38" i="2"/>
  <c r="P38" i="2" s="1"/>
  <c r="Q38" i="2" s="1"/>
  <c r="O39" i="2"/>
  <c r="P39" i="2" s="1"/>
  <c r="Q39" i="2" s="1"/>
  <c r="O40" i="2"/>
  <c r="P40" i="2" s="1"/>
  <c r="Q40" i="2" s="1"/>
  <c r="O41" i="2"/>
  <c r="P41" i="2" s="1"/>
  <c r="Q41" i="2" s="1"/>
  <c r="O42" i="2"/>
  <c r="P42" i="2" s="1"/>
  <c r="Q42" i="2" s="1"/>
  <c r="O43" i="2"/>
  <c r="P43" i="2" s="1"/>
  <c r="Q43" i="2" s="1"/>
  <c r="O44" i="2"/>
  <c r="P44" i="2" s="1"/>
  <c r="Q44" i="2" s="1"/>
  <c r="O45" i="2"/>
  <c r="P45" i="2" s="1"/>
  <c r="Q45" i="2" s="1"/>
  <c r="O36" i="2"/>
  <c r="P36" i="2" s="1"/>
  <c r="Q36" i="2" s="1"/>
  <c r="I37" i="2"/>
  <c r="J37" i="2" s="1"/>
  <c r="K37" i="2" s="1"/>
  <c r="I38" i="2"/>
  <c r="J38" i="2" s="1"/>
  <c r="K38" i="2" s="1"/>
  <c r="I39" i="2"/>
  <c r="J39" i="2" s="1"/>
  <c r="K39" i="2" s="1"/>
  <c r="I40" i="2"/>
  <c r="J40" i="2" s="1"/>
  <c r="K40" i="2" s="1"/>
  <c r="I41" i="2"/>
  <c r="J41" i="2" s="1"/>
  <c r="K41" i="2" s="1"/>
  <c r="I42" i="2"/>
  <c r="J42" i="2" s="1"/>
  <c r="K42" i="2" s="1"/>
  <c r="I43" i="2"/>
  <c r="J43" i="2" s="1"/>
  <c r="K43" i="2" s="1"/>
  <c r="I44" i="2"/>
  <c r="J44" i="2" s="1"/>
  <c r="K44" i="2" s="1"/>
  <c r="I45" i="2"/>
  <c r="J45" i="2" s="1"/>
  <c r="K45" i="2" s="1"/>
  <c r="I36" i="2"/>
  <c r="J36" i="2" s="1"/>
  <c r="K36" i="2" s="1"/>
  <c r="C37" i="2"/>
  <c r="D37" i="2" s="1"/>
  <c r="E37" i="2" s="1"/>
  <c r="C38" i="2"/>
  <c r="D38" i="2" s="1"/>
  <c r="E38" i="2" s="1"/>
  <c r="C39" i="2"/>
  <c r="D39" i="2" s="1"/>
  <c r="C40" i="2"/>
  <c r="D40" i="2" s="1"/>
  <c r="C41" i="2"/>
  <c r="D41" i="2" s="1"/>
  <c r="E41" i="2" s="1"/>
  <c r="C42" i="2"/>
  <c r="D42" i="2" s="1"/>
  <c r="E42" i="2" s="1"/>
  <c r="C43" i="2"/>
  <c r="D43" i="2" s="1"/>
  <c r="C44" i="2"/>
  <c r="D44" i="2" s="1"/>
  <c r="C45" i="2"/>
  <c r="D45" i="2" s="1"/>
  <c r="E45" i="2" s="1"/>
  <c r="C36" i="2"/>
  <c r="D36" i="2" s="1"/>
  <c r="E36" i="2" s="1"/>
  <c r="V53" i="5" l="1"/>
  <c r="V57" i="5"/>
  <c r="V52" i="5"/>
  <c r="V54" i="5"/>
  <c r="Q58" i="2"/>
  <c r="K54" i="2"/>
  <c r="Q57" i="2"/>
  <c r="E61" i="2"/>
  <c r="K53" i="2"/>
  <c r="E54" i="2"/>
  <c r="Q52" i="2"/>
  <c r="J58" i="2"/>
  <c r="K58" i="2" s="1"/>
  <c r="Q53" i="2"/>
  <c r="E58" i="2"/>
  <c r="D57" i="2"/>
  <c r="E57" i="2" s="1"/>
  <c r="E53" i="2"/>
  <c r="Q54" i="2"/>
  <c r="Q61" i="2"/>
  <c r="K52" i="2"/>
  <c r="E52" i="2"/>
  <c r="E44" i="2"/>
  <c r="E40" i="2"/>
  <c r="E43" i="2"/>
  <c r="E39" i="2"/>
  <c r="L10" i="2"/>
  <c r="M10" i="2" s="1"/>
  <c r="B27" i="2"/>
  <c r="B28" i="2"/>
  <c r="B26" i="2"/>
  <c r="B30" i="2" l="1"/>
  <c r="C32" i="3"/>
  <c r="B73" i="3" l="1"/>
  <c r="E47" i="3"/>
  <c r="E46" i="3"/>
  <c r="E45" i="3"/>
  <c r="E44" i="3"/>
  <c r="E43" i="3"/>
  <c r="E42" i="3"/>
  <c r="E41" i="3"/>
  <c r="E40" i="3"/>
  <c r="E39" i="3"/>
  <c r="O37" i="3"/>
  <c r="P37" i="3" s="1"/>
  <c r="A10" i="3"/>
  <c r="B10" i="3" s="1"/>
  <c r="B3" i="3"/>
  <c r="T41" i="3" l="1"/>
  <c r="S41" i="3"/>
  <c r="S45" i="3"/>
  <c r="T45" i="3"/>
  <c r="T46" i="3"/>
  <c r="S46" i="3"/>
  <c r="T44" i="3"/>
  <c r="S44" i="3"/>
  <c r="S43" i="3"/>
  <c r="T43" i="3"/>
  <c r="T40" i="3"/>
  <c r="S40" i="3"/>
  <c r="S39" i="3"/>
  <c r="T39" i="3"/>
  <c r="T42" i="3"/>
  <c r="S42" i="3"/>
  <c r="S47" i="3"/>
  <c r="T47" i="3"/>
  <c r="S38" i="3"/>
  <c r="T38" i="3"/>
  <c r="T37" i="3"/>
  <c r="S37" i="3"/>
  <c r="B69" i="2"/>
  <c r="V39" i="3" l="1"/>
  <c r="V45" i="3"/>
  <c r="V47" i="3"/>
  <c r="V43" i="3"/>
  <c r="V44" i="3"/>
  <c r="V42" i="3"/>
  <c r="V46" i="3"/>
  <c r="V38" i="3"/>
  <c r="V40" i="3"/>
  <c r="V41" i="3"/>
  <c r="S45" i="2"/>
  <c r="S44" i="2"/>
  <c r="S43" i="2"/>
  <c r="S57" i="2"/>
  <c r="T57" i="2"/>
  <c r="S41" i="2"/>
  <c r="S36" i="2"/>
  <c r="S61" i="2"/>
  <c r="T61" i="2"/>
  <c r="T45" i="2"/>
  <c r="B29" i="2" l="1"/>
  <c r="S40" i="2"/>
  <c r="A10" i="2"/>
  <c r="B10" i="2" s="1"/>
  <c r="O35" i="2"/>
  <c r="P35" i="2" s="1"/>
  <c r="I51" i="2"/>
  <c r="J51" i="2" s="1"/>
  <c r="O51" i="2"/>
  <c r="P51" i="2" s="1"/>
  <c r="S42" i="2" l="1"/>
  <c r="S39" i="2"/>
  <c r="S38" i="2"/>
  <c r="S37" i="2"/>
  <c r="T43" i="2"/>
  <c r="S51" i="2"/>
  <c r="T51" i="2"/>
  <c r="T37" i="2"/>
  <c r="T39" i="2"/>
  <c r="T42" i="2"/>
  <c r="T40" i="2"/>
  <c r="T38" i="2"/>
  <c r="T44" i="2"/>
  <c r="T56" i="2"/>
  <c r="T35" i="2"/>
  <c r="S55" i="2"/>
  <c r="T55" i="2"/>
  <c r="S59" i="2"/>
  <c r="T59" i="2"/>
  <c r="S58" i="2"/>
  <c r="T58" i="2"/>
  <c r="S60" i="2"/>
  <c r="T60" i="2"/>
  <c r="S53" i="2"/>
  <c r="T53" i="2"/>
  <c r="S52" i="2"/>
  <c r="T52" i="2"/>
  <c r="T54" i="2"/>
  <c r="S54" i="2"/>
  <c r="S35" i="2"/>
  <c r="T36" i="2"/>
  <c r="S56" i="2" l="1"/>
</calcChain>
</file>

<file path=xl/sharedStrings.xml><?xml version="1.0" encoding="utf-8"?>
<sst xmlns="http://schemas.openxmlformats.org/spreadsheetml/2006/main" count="366" uniqueCount="88">
  <si>
    <t>SD</t>
  </si>
  <si>
    <t>AVE.</t>
  </si>
  <si>
    <t>%</t>
  </si>
  <si>
    <t>MASS</t>
  </si>
  <si>
    <t>CON</t>
  </si>
  <si>
    <t>PA</t>
  </si>
  <si>
    <t>TIME</t>
  </si>
  <si>
    <t>DT6</t>
  </si>
  <si>
    <t>DT5</t>
  </si>
  <si>
    <t>DT4</t>
  </si>
  <si>
    <t>ITZ-C8</t>
  </si>
  <si>
    <t>DT3</t>
  </si>
  <si>
    <t>DT2</t>
  </si>
  <si>
    <t>DT1</t>
  </si>
  <si>
    <t>ITZ</t>
  </si>
  <si>
    <t>LOD</t>
  </si>
  <si>
    <t>Area</t>
  </si>
  <si>
    <t>Conc.</t>
  </si>
  <si>
    <t>Cal</t>
  </si>
  <si>
    <t>180min</t>
  </si>
  <si>
    <t>T-TEST</t>
  </si>
  <si>
    <t>conc.</t>
  </si>
  <si>
    <t>sample</t>
  </si>
  <si>
    <t>medium</t>
  </si>
  <si>
    <t>speed</t>
  </si>
  <si>
    <t>temp</t>
  </si>
  <si>
    <t>Column1</t>
  </si>
  <si>
    <t>Column2</t>
  </si>
  <si>
    <t>75 rpm</t>
  </si>
  <si>
    <t>37 degrees</t>
  </si>
  <si>
    <t>method</t>
  </si>
  <si>
    <t>Total</t>
  </si>
  <si>
    <t>Conc</t>
  </si>
  <si>
    <t>dialysis</t>
  </si>
  <si>
    <t>in PBS</t>
  </si>
  <si>
    <t>890mL PBS</t>
  </si>
  <si>
    <t>10mL 10ITZ-20TPGS-PVA</t>
  </si>
  <si>
    <t>filter</t>
  </si>
  <si>
    <t>FLU nano (0.45 filter)</t>
  </si>
  <si>
    <t>FLU nano (0.2 filter)</t>
  </si>
  <si>
    <t>5mL 10FLU-20T-PVA</t>
  </si>
  <si>
    <t>445 mL PBS</t>
  </si>
  <si>
    <t>FLU solubility</t>
  </si>
  <si>
    <t>FLU nano (dialysis)</t>
  </si>
  <si>
    <t>powder&amp;centrifuge</t>
  </si>
  <si>
    <t>FLU nano (powder)</t>
  </si>
  <si>
    <t>FLU nano (centrifuge)</t>
  </si>
  <si>
    <t>centrifuge</t>
  </si>
  <si>
    <t>15min</t>
  </si>
  <si>
    <t>45min</t>
  </si>
  <si>
    <t>90min</t>
  </si>
  <si>
    <t>360min</t>
  </si>
  <si>
    <t>Column 2</t>
  </si>
  <si>
    <t>Column 1</t>
  </si>
  <si>
    <t>SS</t>
  </si>
  <si>
    <t>R2</t>
  </si>
  <si>
    <t>k</t>
  </si>
  <si>
    <t>f1'</t>
  </si>
  <si>
    <t>f1</t>
  </si>
  <si>
    <t>Time</t>
  </si>
  <si>
    <r>
      <t>f</t>
    </r>
    <r>
      <rPr>
        <sz val="7"/>
        <color theme="1"/>
        <rFont val="Cambria Math"/>
        <family val="1"/>
      </rPr>
      <t xml:space="preserve">1 </t>
    </r>
    <r>
      <rPr>
        <sz val="10"/>
        <color theme="1"/>
        <rFont val="Cambria Math"/>
        <family val="1"/>
      </rPr>
      <t>=</t>
    </r>
    <r>
      <rPr>
        <sz val="7"/>
        <color theme="1"/>
        <rFont val="Cambria Math"/>
        <family val="1"/>
      </rPr>
      <t xml:space="preserve">3 </t>
    </r>
    <r>
      <rPr>
        <sz val="10"/>
        <color theme="1"/>
        <rFont val="Cambria Math"/>
        <family val="1"/>
      </rPr>
      <t>1− 1−</t>
    </r>
    <r>
      <rPr>
        <sz val="7"/>
        <color theme="1"/>
        <rFont val="Cambria Math"/>
        <family val="1"/>
      </rPr>
      <t>M</t>
    </r>
    <r>
      <rPr>
        <sz val="6"/>
        <color theme="1"/>
        <rFont val="Cambria Math"/>
        <family val="1"/>
      </rPr>
      <t xml:space="preserve">t 3 </t>
    </r>
    <r>
      <rPr>
        <sz val="10"/>
        <color theme="1"/>
        <rFont val="Cambria Math"/>
        <family val="1"/>
      </rPr>
      <t xml:space="preserve">− </t>
    </r>
    <r>
      <rPr>
        <sz val="7"/>
        <color theme="1"/>
        <rFont val="Cambria Math"/>
        <family val="1"/>
      </rPr>
      <t>M</t>
    </r>
    <r>
      <rPr>
        <sz val="6"/>
        <color theme="1"/>
        <rFont val="Cambria Math"/>
        <family val="1"/>
      </rPr>
      <t xml:space="preserve">t </t>
    </r>
    <r>
      <rPr>
        <sz val="10"/>
        <color theme="1"/>
        <rFont val="Cambria Math"/>
        <family val="1"/>
      </rPr>
      <t xml:space="preserve">=kt </t>
    </r>
  </si>
  <si>
    <t xml:space="preserve">Baker-Lonsdale model </t>
  </si>
  <si>
    <t>n</t>
  </si>
  <si>
    <t>F'</t>
  </si>
  <si>
    <t>F</t>
  </si>
  <si>
    <r>
      <t xml:space="preserve"> 1 - [1 − k</t>
    </r>
    <r>
      <rPr>
        <sz val="7"/>
        <color theme="1"/>
        <rFont val="Cambria Math"/>
        <family val="1"/>
      </rPr>
      <t xml:space="preserve">1 </t>
    </r>
    <r>
      <rPr>
        <sz val="10"/>
        <color theme="1"/>
        <rFont val="Cambria Math"/>
        <family val="1"/>
      </rPr>
      <t>t (t − l) ]^</t>
    </r>
    <r>
      <rPr>
        <sz val="7"/>
        <color theme="1"/>
        <rFont val="Cambria Math"/>
        <family val="1"/>
      </rPr>
      <t xml:space="preserve">n </t>
    </r>
  </si>
  <si>
    <r>
      <t xml:space="preserve">M </t>
    </r>
    <r>
      <rPr>
        <sz val="6"/>
        <color theme="1"/>
        <rFont val="Cambria Math"/>
        <family val="1"/>
      </rPr>
      <t xml:space="preserve">t </t>
    </r>
    <r>
      <rPr>
        <sz val="7"/>
        <color theme="1"/>
        <rFont val="Cambria Math"/>
        <family val="1"/>
      </rPr>
      <t>M</t>
    </r>
    <r>
      <rPr>
        <sz val="6"/>
        <color theme="1"/>
        <rFont val="Times New Roman,Italic"/>
      </rPr>
      <t xml:space="preserve">∞ </t>
    </r>
  </si>
  <si>
    <t xml:space="preserve">Hopfenberg model </t>
  </si>
  <si>
    <t>Square of Dif</t>
  </si>
  <si>
    <r>
      <t>M</t>
    </r>
    <r>
      <rPr>
        <sz val="6"/>
        <color theme="1"/>
        <rFont val="Cambria Math"/>
        <family val="1"/>
      </rPr>
      <t xml:space="preserve">t </t>
    </r>
    <r>
      <rPr>
        <sz val="10"/>
        <color theme="1"/>
        <rFont val="Cambria Math"/>
        <family val="1"/>
      </rPr>
      <t>= a𝑡</t>
    </r>
    <r>
      <rPr>
        <sz val="7"/>
        <color theme="1"/>
        <rFont val="Cambria Math"/>
        <family val="1"/>
      </rPr>
      <t xml:space="preserve">n </t>
    </r>
    <r>
      <rPr>
        <sz val="10"/>
        <color theme="1"/>
        <rFont val="Times New Roman"/>
        <family val="1"/>
      </rPr>
      <t xml:space="preserve">-----------------------------------------------(26) </t>
    </r>
    <r>
      <rPr>
        <sz val="7"/>
        <color theme="1"/>
        <rFont val="Cambria Math"/>
        <family val="1"/>
      </rPr>
      <t>M</t>
    </r>
    <r>
      <rPr>
        <sz val="6"/>
        <color theme="1"/>
        <rFont val="Times New Roman,Italic"/>
      </rPr>
      <t xml:space="preserve">∞ </t>
    </r>
  </si>
  <si>
    <t xml:space="preserve">Korsemeyer- peppas model </t>
  </si>
  <si>
    <t>Dialysis</t>
  </si>
  <si>
    <t>Centrifuge</t>
  </si>
  <si>
    <t>in water</t>
  </si>
  <si>
    <t>Rank</t>
  </si>
  <si>
    <t>Percent</t>
  </si>
  <si>
    <t>RSD</t>
  </si>
  <si>
    <t xml:space="preserve">RSD </t>
  </si>
  <si>
    <r>
      <t>Hixson</t>
    </r>
    <r>
      <rPr>
        <sz val="10"/>
        <color theme="1"/>
        <rFont val="Times"/>
        <family val="1"/>
      </rPr>
      <t>–</t>
    </r>
    <r>
      <rPr>
        <i/>
        <sz val="10"/>
        <color theme="1"/>
        <rFont val="Times"/>
        <family val="1"/>
      </rPr>
      <t>Crowell model</t>
    </r>
  </si>
  <si>
    <t>W01/3-Wt1/3= K t</t>
  </si>
  <si>
    <t>1h</t>
  </si>
  <si>
    <t>intensity</t>
  </si>
  <si>
    <t>3h</t>
  </si>
  <si>
    <t>ug/ml</t>
  </si>
  <si>
    <t>Peppas-Sahlin</t>
  </si>
  <si>
    <t>k1</t>
  </si>
  <si>
    <t>k2</t>
  </si>
  <si>
    <t>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</si>
</sst>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16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0"/>
      <color theme="1"/>
      <name val="Cambria Math"/>
      <family val="1"/>
    </font>
    <font>
      <sz val="7"/>
      <color theme="1"/>
      <name val="Cambria Math"/>
      <family val="1"/>
    </font>
    <font>
      <sz val="6"/>
      <color theme="1"/>
      <name val="Cambria Math"/>
      <family val="1"/>
    </font>
    <font>
      <sz val="10"/>
      <color theme="1"/>
      <name val="Times New Roman,BoldItalic"/>
    </font>
    <font>
      <sz val="6"/>
      <color theme="1"/>
      <name val="Times New Roman,Italic"/>
    </font>
    <font>
      <sz val="10"/>
      <color theme="1"/>
      <name val="Times New Roman"/>
      <family val="1"/>
    </font>
    <font>
      <b/>
      <sz val="16"/>
      <color theme="1"/>
      <name val="Calibri"/>
      <family val="2"/>
      <scheme val="minor"/>
    </font>
    <font>
      <i/>
      <sz val="10"/>
      <color theme="1"/>
      <name val="Times"/>
      <family val="1"/>
    </font>
    <font>
      <sz val="10"/>
      <color theme="1"/>
      <name val="Times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2" fontId="1" fillId="0" borderId="0" xfId="1" applyNumberFormat="1" applyBorder="1" applyAlignment="1">
      <alignment horizontal="center"/>
    </xf>
    <xf numFmtId="0" fontId="1" fillId="0" borderId="0" xfId="1" applyAlignment="1">
      <alignment horizontal="center"/>
    </xf>
    <xf numFmtId="2" fontId="1" fillId="0" borderId="1" xfId="1" applyNumberFormat="1" applyBorder="1" applyAlignment="1">
      <alignment horizontal="center"/>
    </xf>
    <xf numFmtId="2" fontId="1" fillId="0" borderId="2" xfId="1" applyNumberFormat="1" applyBorder="1" applyAlignment="1">
      <alignment horizontal="center"/>
    </xf>
    <xf numFmtId="164" fontId="1" fillId="0" borderId="0" xfId="1" applyNumberFormat="1" applyBorder="1" applyAlignment="1">
      <alignment horizontal="center"/>
    </xf>
    <xf numFmtId="0" fontId="1" fillId="0" borderId="0" xfId="1" applyBorder="1" applyAlignment="1">
      <alignment horizontal="center"/>
    </xf>
    <xf numFmtId="0" fontId="1" fillId="0" borderId="2" xfId="1" applyBorder="1" applyAlignment="1">
      <alignment horizontal="center"/>
    </xf>
    <xf numFmtId="165" fontId="1" fillId="0" borderId="0" xfId="1" applyNumberFormat="1" applyFill="1" applyBorder="1" applyAlignment="1">
      <alignment horizontal="center"/>
    </xf>
    <xf numFmtId="0" fontId="1" fillId="0" borderId="2" xfId="1" applyFill="1" applyBorder="1" applyAlignment="1">
      <alignment horizontal="center"/>
    </xf>
    <xf numFmtId="165" fontId="1" fillId="0" borderId="0" xfId="1" applyNumberFormat="1" applyBorder="1" applyAlignment="1">
      <alignment horizontal="center"/>
    </xf>
    <xf numFmtId="0" fontId="1" fillId="0" borderId="1" xfId="1" applyBorder="1" applyAlignment="1">
      <alignment horizontal="center"/>
    </xf>
    <xf numFmtId="0" fontId="1" fillId="0" borderId="3" xfId="1" applyFill="1" applyBorder="1" applyAlignment="1">
      <alignment horizontal="center"/>
    </xf>
    <xf numFmtId="0" fontId="1" fillId="0" borderId="4" xfId="1" applyFill="1" applyBorder="1" applyAlignment="1">
      <alignment horizontal="center"/>
    </xf>
    <xf numFmtId="2" fontId="1" fillId="0" borderId="0" xfId="1" applyNumberFormat="1" applyAlignment="1">
      <alignment horizontal="center"/>
    </xf>
    <xf numFmtId="0" fontId="2" fillId="0" borderId="0" xfId="1" applyFont="1" applyBorder="1" applyAlignment="1">
      <alignment horizontal="center"/>
    </xf>
    <xf numFmtId="0" fontId="2" fillId="0" borderId="2" xfId="1" applyFont="1" applyBorder="1" applyAlignment="1">
      <alignment horizontal="center"/>
    </xf>
    <xf numFmtId="0" fontId="1" fillId="0" borderId="3" xfId="1" applyBorder="1" applyAlignment="1">
      <alignment horizontal="center"/>
    </xf>
    <xf numFmtId="0" fontId="1" fillId="0" borderId="5" xfId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" fillId="0" borderId="0" xfId="1" applyFill="1" applyBorder="1" applyAlignment="1">
      <alignment horizontal="center"/>
    </xf>
    <xf numFmtId="164" fontId="1" fillId="0" borderId="0" xfId="1" applyNumberFormat="1" applyFill="1" applyBorder="1" applyAlignment="1">
      <alignment horizontal="center"/>
    </xf>
    <xf numFmtId="2" fontId="1" fillId="0" borderId="1" xfId="1" applyNumberFormat="1" applyFill="1" applyBorder="1" applyAlignment="1">
      <alignment horizontal="center"/>
    </xf>
    <xf numFmtId="2" fontId="1" fillId="0" borderId="2" xfId="1" applyNumberFormat="1" applyFill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5" fillId="0" borderId="0" xfId="0" applyFont="1"/>
    <xf numFmtId="0" fontId="4" fillId="0" borderId="1" xfId="0" applyFont="1" applyBorder="1" applyAlignment="1">
      <alignment horizontal="center"/>
    </xf>
    <xf numFmtId="0" fontId="0" fillId="0" borderId="6" xfId="0" applyFill="1" applyBorder="1" applyAlignment="1"/>
    <xf numFmtId="0" fontId="0" fillId="0" borderId="0" xfId="0" applyFill="1" applyBorder="1" applyAlignment="1"/>
    <xf numFmtId="0" fontId="6" fillId="0" borderId="7" xfId="0" applyFont="1" applyFill="1" applyBorder="1" applyAlignment="1">
      <alignment horizontal="center"/>
    </xf>
    <xf numFmtId="0" fontId="0" fillId="2" borderId="0" xfId="0" applyFill="1"/>
    <xf numFmtId="0" fontId="7" fillId="0" borderId="0" xfId="0" applyFont="1"/>
    <xf numFmtId="0" fontId="10" fillId="0" borderId="0" xfId="0" applyFont="1"/>
    <xf numFmtId="0" fontId="8" fillId="0" borderId="0" xfId="0" applyFont="1"/>
    <xf numFmtId="2" fontId="0" fillId="0" borderId="0" xfId="0" applyNumberFormat="1"/>
    <xf numFmtId="0" fontId="13" fillId="0" borderId="0" xfId="0" applyFont="1"/>
    <xf numFmtId="0" fontId="1" fillId="2" borderId="2" xfId="1" applyFill="1" applyBorder="1" applyAlignment="1">
      <alignment horizontal="center"/>
    </xf>
    <xf numFmtId="0" fontId="0" fillId="0" borderId="0" xfId="0" applyFill="1"/>
    <xf numFmtId="10" fontId="0" fillId="0" borderId="0" xfId="0" applyNumberFormat="1"/>
    <xf numFmtId="0" fontId="14" fillId="0" borderId="0" xfId="0" applyFont="1"/>
    <xf numFmtId="0" fontId="2" fillId="0" borderId="4" xfId="1" applyFont="1" applyBorder="1" applyAlignment="1">
      <alignment horizontal="center"/>
    </xf>
    <xf numFmtId="0" fontId="2" fillId="0" borderId="5" xfId="1" applyFont="1" applyBorder="1" applyAlignment="1">
      <alignment horizontal="center"/>
    </xf>
  </cellXfs>
  <cellStyles count="2">
    <cellStyle name="Normal" xfId="0" builtinId="0"/>
    <cellStyle name="Normal 2" xfId="1" xr:uid="{71595E9D-A32B-8442-819D-4DFA832B171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'7 AUG 2019'!$A$3:$A$7</c:f>
              <c:numCache>
                <c:formatCode>General</c:formatCode>
                <c:ptCount val="5"/>
                <c:pt idx="0">
                  <c:v>5.0000000000000001E-4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0.5</c:v>
                </c:pt>
              </c:numCache>
            </c:numRef>
          </c:xVal>
          <c:yVal>
            <c:numRef>
              <c:f>'7 AUG 2019'!$B$3:$B$7</c:f>
              <c:numCache>
                <c:formatCode>General</c:formatCode>
                <c:ptCount val="5"/>
                <c:pt idx="0">
                  <c:v>22.8</c:v>
                </c:pt>
                <c:pt idx="1">
                  <c:v>43.6</c:v>
                </c:pt>
                <c:pt idx="2">
                  <c:v>474.9</c:v>
                </c:pt>
                <c:pt idx="3">
                  <c:v>4473.3</c:v>
                </c:pt>
                <c:pt idx="4">
                  <c:v>21377.7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81F-524B-84CC-4423D52212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9511359"/>
        <c:axId val="2012502703"/>
      </c:scatterChart>
      <c:valAx>
        <c:axId val="2019511359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2502703"/>
        <c:crosses val="autoZero"/>
        <c:crossBetween val="midCat"/>
      </c:valAx>
      <c:valAx>
        <c:axId val="20125027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95113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'Model fit (2)'!$A$3:$A$13</c:f>
              <c:numCache>
                <c:formatCode>General</c:formatCode>
                <c:ptCount val="11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45</c:v>
                </c:pt>
                <c:pt idx="5">
                  <c:v>60</c:v>
                </c:pt>
                <c:pt idx="6">
                  <c:v>75</c:v>
                </c:pt>
                <c:pt idx="7">
                  <c:v>90</c:v>
                </c:pt>
                <c:pt idx="8">
                  <c:v>120</c:v>
                </c:pt>
                <c:pt idx="9">
                  <c:v>180</c:v>
                </c:pt>
                <c:pt idx="10">
                  <c:v>360</c:v>
                </c:pt>
              </c:numCache>
            </c:numRef>
          </c:xVal>
          <c:yVal>
            <c:numRef>
              <c:f>'Model fit (2)'!$B$3:$B$13</c:f>
              <c:numCache>
                <c:formatCode>0.00</c:formatCode>
                <c:ptCount val="11"/>
                <c:pt idx="0">
                  <c:v>14</c:v>
                </c:pt>
                <c:pt idx="1">
                  <c:v>42.511185149928615</c:v>
                </c:pt>
                <c:pt idx="2">
                  <c:v>70.860542598762493</c:v>
                </c:pt>
                <c:pt idx="3">
                  <c:v>85.4336030461685</c:v>
                </c:pt>
                <c:pt idx="4">
                  <c:v>98.670157068062835</c:v>
                </c:pt>
                <c:pt idx="5">
                  <c:v>99.209900047596406</c:v>
                </c:pt>
                <c:pt idx="6">
                  <c:v>98.695859114707289</c:v>
                </c:pt>
                <c:pt idx="7">
                  <c:v>98.927177534507379</c:v>
                </c:pt>
                <c:pt idx="8">
                  <c:v>99.595430747263208</c:v>
                </c:pt>
                <c:pt idx="9">
                  <c:v>99.980961446930039</c:v>
                </c:pt>
                <c:pt idx="10">
                  <c:v>99.441218467396482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ED7-354D-8C4B-D6B2B4F6493C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'Model fit (2)'!$A$3:$A$13</c:f>
              <c:numCache>
                <c:formatCode>General</c:formatCode>
                <c:ptCount val="11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45</c:v>
                </c:pt>
                <c:pt idx="5">
                  <c:v>60</c:v>
                </c:pt>
                <c:pt idx="6">
                  <c:v>75</c:v>
                </c:pt>
                <c:pt idx="7">
                  <c:v>90</c:v>
                </c:pt>
                <c:pt idx="8">
                  <c:v>120</c:v>
                </c:pt>
                <c:pt idx="9">
                  <c:v>180</c:v>
                </c:pt>
                <c:pt idx="10">
                  <c:v>360</c:v>
                </c:pt>
              </c:numCache>
            </c:numRef>
          </c:xVal>
          <c:yVal>
            <c:numRef>
              <c:f>'Model fit (2)'!$C$3:$C$13</c:f>
              <c:numCache>
                <c:formatCode>General</c:formatCode>
                <c:ptCount val="11"/>
                <c:pt idx="0">
                  <c:v>0</c:v>
                </c:pt>
                <c:pt idx="1">
                  <c:v>42.511247676630653</c:v>
                </c:pt>
                <c:pt idx="2">
                  <c:v>70.860235820380041</c:v>
                </c:pt>
                <c:pt idx="3">
                  <c:v>97.814921757047003</c:v>
                </c:pt>
                <c:pt idx="4">
                  <c:v>118.11398853108979</c:v>
                </c:pt>
                <c:pt idx="5">
                  <c:v>135.0229618567746</c:v>
                </c:pt>
                <c:pt idx="6">
                  <c:v>149.78846646733484</c:v>
                </c:pt>
                <c:pt idx="7">
                  <c:v>163.04363671421004</c:v>
                </c:pt>
                <c:pt idx="8">
                  <c:v>186.38465278190091</c:v>
                </c:pt>
                <c:pt idx="9">
                  <c:v>225.06417574746538</c:v>
                </c:pt>
                <c:pt idx="10">
                  <c:v>310.6768483928895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ED7-354D-8C4B-D6B2B4F649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5273504"/>
        <c:axId val="715291872"/>
      </c:scatterChart>
      <c:valAx>
        <c:axId val="7152735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5291872"/>
        <c:crosses val="autoZero"/>
        <c:crossBetween val="midCat"/>
      </c:valAx>
      <c:valAx>
        <c:axId val="715291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52735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'Model fit (2)'!$A$20:$A$30</c:f>
              <c:numCache>
                <c:formatCode>General</c:formatCode>
                <c:ptCount val="11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45</c:v>
                </c:pt>
                <c:pt idx="5">
                  <c:v>60</c:v>
                </c:pt>
                <c:pt idx="6">
                  <c:v>75</c:v>
                </c:pt>
                <c:pt idx="7">
                  <c:v>90</c:v>
                </c:pt>
                <c:pt idx="8">
                  <c:v>120</c:v>
                </c:pt>
                <c:pt idx="9">
                  <c:v>180</c:v>
                </c:pt>
                <c:pt idx="10">
                  <c:v>360</c:v>
                </c:pt>
              </c:numCache>
            </c:numRef>
          </c:xVal>
          <c:yVal>
            <c:numRef>
              <c:f>'Model fit (2)'!$B$20:$B$30</c:f>
              <c:numCache>
                <c:formatCode>0.00</c:formatCode>
                <c:ptCount val="11"/>
                <c:pt idx="0">
                  <c:v>14</c:v>
                </c:pt>
                <c:pt idx="1">
                  <c:v>19.919086149452642</c:v>
                </c:pt>
                <c:pt idx="2">
                  <c:v>28.14374107567825</c:v>
                </c:pt>
                <c:pt idx="3">
                  <c:v>49.168015230842457</c:v>
                </c:pt>
                <c:pt idx="4">
                  <c:v>61.068062827225134</c:v>
                </c:pt>
                <c:pt idx="5">
                  <c:v>76.206568300809138</c:v>
                </c:pt>
                <c:pt idx="6">
                  <c:v>88.158019990480724</c:v>
                </c:pt>
                <c:pt idx="7">
                  <c:v>96.356972870061881</c:v>
                </c:pt>
                <c:pt idx="8">
                  <c:v>99.595430747263208</c:v>
                </c:pt>
                <c:pt idx="9">
                  <c:v>99.980961446930039</c:v>
                </c:pt>
                <c:pt idx="10">
                  <c:v>99.441218467396482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4AD-1A44-9B48-FEE217B409ED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'Model fit (2)'!$A$20:$A$30</c:f>
              <c:numCache>
                <c:formatCode>General</c:formatCode>
                <c:ptCount val="11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45</c:v>
                </c:pt>
                <c:pt idx="5">
                  <c:v>60</c:v>
                </c:pt>
                <c:pt idx="6">
                  <c:v>75</c:v>
                </c:pt>
                <c:pt idx="7">
                  <c:v>90</c:v>
                </c:pt>
                <c:pt idx="8">
                  <c:v>120</c:v>
                </c:pt>
                <c:pt idx="9">
                  <c:v>180</c:v>
                </c:pt>
                <c:pt idx="10">
                  <c:v>360</c:v>
                </c:pt>
              </c:numCache>
            </c:numRef>
          </c:xVal>
          <c:yVal>
            <c:numRef>
              <c:f>'Model fit (2)'!$C$20:$C$30</c:f>
              <c:numCache>
                <c:formatCode>General</c:formatCode>
                <c:ptCount val="11"/>
                <c:pt idx="0">
                  <c:v>0</c:v>
                </c:pt>
                <c:pt idx="1">
                  <c:v>0.22096321086378856</c:v>
                </c:pt>
                <c:pt idx="2">
                  <c:v>0.56030965776518182</c:v>
                </c:pt>
                <c:pt idx="3">
                  <c:v>0.85872247245542743</c:v>
                </c:pt>
                <c:pt idx="4">
                  <c:v>0.97775599059724994</c:v>
                </c:pt>
                <c:pt idx="5">
                  <c:v>0.99992775871716177</c:v>
                </c:pt>
                <c:pt idx="6">
                  <c:v>1.0077553233416754</c:v>
                </c:pt>
                <c:pt idx="7">
                  <c:v>1.0837562309973032</c:v>
                </c:pt>
                <c:pt idx="8">
                  <c:v>1.7703482615079522</c:v>
                </c:pt>
                <c:pt idx="9">
                  <c:v>7.5923844860691725</c:v>
                </c:pt>
                <c:pt idx="10">
                  <c:v>108.17941726734342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4AD-1A44-9B48-FEE217B409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6275296"/>
        <c:axId val="866099840"/>
      </c:scatterChart>
      <c:valAx>
        <c:axId val="8462752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6099840"/>
        <c:crosses val="autoZero"/>
        <c:crossBetween val="midCat"/>
      </c:valAx>
      <c:valAx>
        <c:axId val="866099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62752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'Model fit (2)'!$A$36:$A$46</c:f>
              <c:numCache>
                <c:formatCode>General</c:formatCode>
                <c:ptCount val="11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45</c:v>
                </c:pt>
                <c:pt idx="5">
                  <c:v>60</c:v>
                </c:pt>
                <c:pt idx="6">
                  <c:v>75</c:v>
                </c:pt>
                <c:pt idx="7">
                  <c:v>90</c:v>
                </c:pt>
                <c:pt idx="8">
                  <c:v>120</c:v>
                </c:pt>
                <c:pt idx="9">
                  <c:v>180</c:v>
                </c:pt>
                <c:pt idx="10">
                  <c:v>360</c:v>
                </c:pt>
              </c:numCache>
            </c:numRef>
          </c:xVal>
          <c:yVal>
            <c:numRef>
              <c:f>'Model fit (2)'!$B$36:$B$46</c:f>
              <c:numCache>
                <c:formatCode>General</c:formatCode>
                <c:ptCount val="11"/>
                <c:pt idx="0">
                  <c:v>3.4882501700355117E-3</c:v>
                </c:pt>
                <c:pt idx="1">
                  <c:v>3.7805194282645449E-2</c:v>
                </c:pt>
                <c:pt idx="2">
                  <c:v>0.1321009139637993</c:v>
                </c:pt>
                <c:pt idx="3">
                  <c:v>0.23039830894357205</c:v>
                </c:pt>
                <c:pt idx="4">
                  <c:v>0.42910242301326673</c:v>
                </c:pt>
                <c:pt idx="5">
                  <c:v>0.44839702850728302</c:v>
                </c:pt>
                <c:pt idx="6">
                  <c:v>0.42993377214431283</c:v>
                </c:pt>
                <c:pt idx="7">
                  <c:v>0.43776402350919252</c:v>
                </c:pt>
                <c:pt idx="8">
                  <c:v>0.46596076139642095</c:v>
                </c:pt>
                <c:pt idx="9">
                  <c:v>0.49522620898487768</c:v>
                </c:pt>
                <c:pt idx="10">
                  <c:v>0.45835404407004621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2B9-9E41-ACCB-AC2D82B729C2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'Model fit (2)'!$A$36:$A$46</c:f>
              <c:numCache>
                <c:formatCode>General</c:formatCode>
                <c:ptCount val="11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45</c:v>
                </c:pt>
                <c:pt idx="5">
                  <c:v>60</c:v>
                </c:pt>
                <c:pt idx="6">
                  <c:v>75</c:v>
                </c:pt>
                <c:pt idx="7">
                  <c:v>90</c:v>
                </c:pt>
                <c:pt idx="8">
                  <c:v>120</c:v>
                </c:pt>
                <c:pt idx="9">
                  <c:v>180</c:v>
                </c:pt>
                <c:pt idx="10">
                  <c:v>360</c:v>
                </c:pt>
              </c:numCache>
            </c:numRef>
          </c:xVal>
          <c:yVal>
            <c:numRef>
              <c:f>'Model fit (2)'!$C$36:$C$46</c:f>
              <c:numCache>
                <c:formatCode>General</c:formatCode>
                <c:ptCount val="11"/>
                <c:pt idx="0">
                  <c:v>0</c:v>
                </c:pt>
                <c:pt idx="1">
                  <c:v>4.4711965330353355E-2</c:v>
                </c:pt>
                <c:pt idx="2">
                  <c:v>0.13413589599106007</c:v>
                </c:pt>
                <c:pt idx="3">
                  <c:v>0.26827179198212014</c:v>
                </c:pt>
                <c:pt idx="4">
                  <c:v>0.40240768797318022</c:v>
                </c:pt>
                <c:pt idx="5">
                  <c:v>0.53654358396424029</c:v>
                </c:pt>
                <c:pt idx="6">
                  <c:v>0.67067947995530031</c:v>
                </c:pt>
                <c:pt idx="7">
                  <c:v>0.80481537594636043</c:v>
                </c:pt>
                <c:pt idx="8">
                  <c:v>1.0730871679284806</c:v>
                </c:pt>
                <c:pt idx="9">
                  <c:v>1.6096307518927209</c:v>
                </c:pt>
                <c:pt idx="10">
                  <c:v>3.2192615037854417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2B9-9E41-ACCB-AC2D82B729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6652256"/>
        <c:axId val="864178816"/>
      </c:scatterChart>
      <c:valAx>
        <c:axId val="9266522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4178816"/>
        <c:crosses val="autoZero"/>
        <c:crossBetween val="midCat"/>
      </c:valAx>
      <c:valAx>
        <c:axId val="864178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66522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'7 AUG 2019'!$L$3:$L$7</c:f>
              <c:numCache>
                <c:formatCode>General</c:formatCode>
                <c:ptCount val="5"/>
                <c:pt idx="0">
                  <c:v>5.0000000000000001E-4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0.5</c:v>
                </c:pt>
              </c:numCache>
            </c:numRef>
          </c:xVal>
          <c:yVal>
            <c:numRef>
              <c:f>'7 AUG 2019'!$M$3:$M$7</c:f>
              <c:numCache>
                <c:formatCode>General</c:formatCode>
                <c:ptCount val="5"/>
                <c:pt idx="0">
                  <c:v>25.7</c:v>
                </c:pt>
                <c:pt idx="1">
                  <c:v>57.8</c:v>
                </c:pt>
                <c:pt idx="2">
                  <c:v>451.8</c:v>
                </c:pt>
                <c:pt idx="3">
                  <c:v>4474.2</c:v>
                </c:pt>
                <c:pt idx="4">
                  <c:v>20123.099999999999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DA9-EE4D-82CA-AF8B71DD0C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7032592"/>
        <c:axId val="957114672"/>
      </c:scatterChart>
      <c:valAx>
        <c:axId val="957032592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7114672"/>
        <c:crosses val="autoZero"/>
        <c:crossBetween val="midCat"/>
      </c:valAx>
      <c:valAx>
        <c:axId val="957114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70325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'12 AUG 2019'!$A$3:$A$7</c:f>
              <c:numCache>
                <c:formatCode>General</c:formatCode>
                <c:ptCount val="5"/>
                <c:pt idx="0">
                  <c:v>5.0000000000000001E-4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0.5</c:v>
                </c:pt>
              </c:numCache>
            </c:numRef>
          </c:xVal>
          <c:yVal>
            <c:numRef>
              <c:f>'12 AUG 2019'!$B$3:$B$7</c:f>
              <c:numCache>
                <c:formatCode>General</c:formatCode>
                <c:ptCount val="5"/>
                <c:pt idx="0">
                  <c:v>38.366666666666667</c:v>
                </c:pt>
                <c:pt idx="1">
                  <c:v>57.5</c:v>
                </c:pt>
                <c:pt idx="2">
                  <c:v>449.5</c:v>
                </c:pt>
                <c:pt idx="3">
                  <c:v>4465.8999999999996</c:v>
                </c:pt>
                <c:pt idx="4">
                  <c:v>17785.2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F20-5340-A043-1D3CBD92B1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9511359"/>
        <c:axId val="2012502703"/>
      </c:scatterChart>
      <c:valAx>
        <c:axId val="2019511359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2502703"/>
        <c:crosses val="autoZero"/>
        <c:crossBetween val="midCat"/>
      </c:valAx>
      <c:valAx>
        <c:axId val="20125027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95113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'12 AUG 2019'!$I$78:$I$82</c:f>
              <c:numCache>
                <c:formatCode>General</c:formatCode>
                <c:ptCount val="5"/>
                <c:pt idx="0">
                  <c:v>5.0000000000000001E-4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0.5</c:v>
                </c:pt>
              </c:numCache>
            </c:numRef>
          </c:xVal>
          <c:yVal>
            <c:numRef>
              <c:f>'12 AUG 2019'!$J$78:$J$82</c:f>
              <c:numCache>
                <c:formatCode>General</c:formatCode>
                <c:ptCount val="5"/>
                <c:pt idx="0">
                  <c:v>44.333333333333336</c:v>
                </c:pt>
                <c:pt idx="1">
                  <c:v>76.400000000000006</c:v>
                </c:pt>
                <c:pt idx="2">
                  <c:v>884.2</c:v>
                </c:pt>
                <c:pt idx="3">
                  <c:v>7761.9</c:v>
                </c:pt>
                <c:pt idx="4">
                  <c:v>42767.199999999997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69E-434F-A840-15D9561F86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443504"/>
        <c:axId val="115445424"/>
      </c:scatterChart>
      <c:valAx>
        <c:axId val="115443504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445424"/>
        <c:crosses val="autoZero"/>
        <c:crossBetween val="midCat"/>
      </c:valAx>
      <c:valAx>
        <c:axId val="115445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4435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'16 AUG 2019'!$A$3:$A$7</c:f>
              <c:numCache>
                <c:formatCode>General</c:formatCode>
                <c:ptCount val="5"/>
                <c:pt idx="0">
                  <c:v>5.0000000000000001E-4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0.5</c:v>
                </c:pt>
              </c:numCache>
            </c:numRef>
          </c:xVal>
          <c:yVal>
            <c:numRef>
              <c:f>'16 AUG 2019'!$B$3:$B$7</c:f>
              <c:numCache>
                <c:formatCode>General</c:formatCode>
                <c:ptCount val="5"/>
                <c:pt idx="0">
                  <c:v>40.299999999999997</c:v>
                </c:pt>
                <c:pt idx="1">
                  <c:v>103.1</c:v>
                </c:pt>
                <c:pt idx="2">
                  <c:v>457</c:v>
                </c:pt>
                <c:pt idx="3">
                  <c:v>4619.8999999999996</c:v>
                </c:pt>
                <c:pt idx="4">
                  <c:v>20925.599999999999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311-D44A-836B-79656F7680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9511359"/>
        <c:axId val="2012502703"/>
      </c:scatterChart>
      <c:valAx>
        <c:axId val="2019511359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2502703"/>
        <c:crosses val="autoZero"/>
        <c:crossBetween val="midCat"/>
      </c:valAx>
      <c:valAx>
        <c:axId val="20125027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95113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'28 AUG 2019'!$A$3:$A$7</c:f>
              <c:numCache>
                <c:formatCode>General</c:formatCode>
                <c:ptCount val="5"/>
                <c:pt idx="0">
                  <c:v>5.0000000000000001E-4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0.5</c:v>
                </c:pt>
              </c:numCache>
            </c:numRef>
          </c:xVal>
          <c:yVal>
            <c:numRef>
              <c:f>'28 AUG 2019'!$B$3:$B$7</c:f>
              <c:numCache>
                <c:formatCode>General</c:formatCode>
                <c:ptCount val="5"/>
                <c:pt idx="0">
                  <c:v>40.299999999999997</c:v>
                </c:pt>
                <c:pt idx="1">
                  <c:v>103.1</c:v>
                </c:pt>
                <c:pt idx="2">
                  <c:v>457</c:v>
                </c:pt>
                <c:pt idx="3">
                  <c:v>4619.8999999999996</c:v>
                </c:pt>
                <c:pt idx="4">
                  <c:v>20925.599999999999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39E-B04A-B29B-2FEA727696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9511359"/>
        <c:axId val="2012502703"/>
      </c:scatterChart>
      <c:valAx>
        <c:axId val="2019511359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2502703"/>
        <c:crosses val="autoZero"/>
        <c:crossBetween val="midCat"/>
      </c:valAx>
      <c:valAx>
        <c:axId val="20125027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95113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'Model fit'!$A$3:$A$13</c:f>
              <c:numCache>
                <c:formatCode>General</c:formatCode>
                <c:ptCount val="11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45</c:v>
                </c:pt>
                <c:pt idx="5">
                  <c:v>60</c:v>
                </c:pt>
                <c:pt idx="6">
                  <c:v>75</c:v>
                </c:pt>
                <c:pt idx="7">
                  <c:v>90</c:v>
                </c:pt>
                <c:pt idx="8">
                  <c:v>120</c:v>
                </c:pt>
                <c:pt idx="9">
                  <c:v>180</c:v>
                </c:pt>
                <c:pt idx="10">
                  <c:v>360</c:v>
                </c:pt>
              </c:numCache>
            </c:numRef>
          </c:xVal>
          <c:yVal>
            <c:numRef>
              <c:f>'Model fit'!$B$3:$B$13</c:f>
              <c:numCache>
                <c:formatCode>0.00</c:formatCode>
                <c:ptCount val="11"/>
                <c:pt idx="0">
                  <c:v>0</c:v>
                </c:pt>
                <c:pt idx="1">
                  <c:v>8.85053631741083</c:v>
                </c:pt>
                <c:pt idx="2">
                  <c:v>22.713691868017666</c:v>
                </c:pt>
                <c:pt idx="3">
                  <c:v>40.817095349441416</c:v>
                </c:pt>
                <c:pt idx="4">
                  <c:v>55.47544816835542</c:v>
                </c:pt>
                <c:pt idx="5">
                  <c:v>66.6212003117693</c:v>
                </c:pt>
                <c:pt idx="6">
                  <c:v>76.027539620680685</c:v>
                </c:pt>
                <c:pt idx="7">
                  <c:v>81.988828267082368</c:v>
                </c:pt>
                <c:pt idx="8">
                  <c:v>91.631592621460115</c:v>
                </c:pt>
                <c:pt idx="9">
                  <c:v>98.96076903091712</c:v>
                </c:pt>
                <c:pt idx="10">
                  <c:v>99.011431540659899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77C-CE45-85A2-8990C6DC5657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'Model fit'!$A$3:$A$13</c:f>
              <c:numCache>
                <c:formatCode>General</c:formatCode>
                <c:ptCount val="11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45</c:v>
                </c:pt>
                <c:pt idx="5">
                  <c:v>60</c:v>
                </c:pt>
                <c:pt idx="6">
                  <c:v>75</c:v>
                </c:pt>
                <c:pt idx="7">
                  <c:v>90</c:v>
                </c:pt>
                <c:pt idx="8">
                  <c:v>120</c:v>
                </c:pt>
                <c:pt idx="9">
                  <c:v>180</c:v>
                </c:pt>
                <c:pt idx="10">
                  <c:v>360</c:v>
                </c:pt>
              </c:numCache>
            </c:numRef>
          </c:xVal>
          <c:yVal>
            <c:numRef>
              <c:f>'Model fit'!$C$3:$C$13</c:f>
              <c:numCache>
                <c:formatCode>General</c:formatCode>
                <c:ptCount val="11"/>
                <c:pt idx="0">
                  <c:v>0</c:v>
                </c:pt>
                <c:pt idx="1">
                  <c:v>9.300981869737436</c:v>
                </c:pt>
                <c:pt idx="2">
                  <c:v>22.794245334554212</c:v>
                </c:pt>
                <c:pt idx="3">
                  <c:v>40.127667191822077</c:v>
                </c:pt>
                <c:pt idx="4">
                  <c:v>55.862663496033008</c:v>
                </c:pt>
                <c:pt idx="5">
                  <c:v>70.641938376290852</c:v>
                </c:pt>
                <c:pt idx="6">
                  <c:v>84.748918731617707</c:v>
                </c:pt>
                <c:pt idx="7">
                  <c:v>98.342293693725466</c:v>
                </c:pt>
                <c:pt idx="8">
                  <c:v>124.36016860149505</c:v>
                </c:pt>
                <c:pt idx="9">
                  <c:v>173.12469767270818</c:v>
                </c:pt>
                <c:pt idx="10">
                  <c:v>304.7738650230296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77C-CE45-85A2-8990C6DC56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5273504"/>
        <c:axId val="715291872"/>
      </c:scatterChart>
      <c:valAx>
        <c:axId val="7152735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5291872"/>
        <c:crosses val="autoZero"/>
        <c:crossBetween val="midCat"/>
      </c:valAx>
      <c:valAx>
        <c:axId val="715291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52735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'Model fit'!$A$20:$A$30</c:f>
              <c:numCache>
                <c:formatCode>General</c:formatCode>
                <c:ptCount val="11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45</c:v>
                </c:pt>
                <c:pt idx="5">
                  <c:v>60</c:v>
                </c:pt>
                <c:pt idx="6">
                  <c:v>75</c:v>
                </c:pt>
                <c:pt idx="7">
                  <c:v>90</c:v>
                </c:pt>
                <c:pt idx="8">
                  <c:v>120</c:v>
                </c:pt>
                <c:pt idx="9">
                  <c:v>180</c:v>
                </c:pt>
                <c:pt idx="10">
                  <c:v>360</c:v>
                </c:pt>
              </c:numCache>
            </c:numRef>
          </c:xVal>
          <c:yVal>
            <c:numRef>
              <c:f>'Model fit'!$B$20:$B$30</c:f>
              <c:numCache>
                <c:formatCode>0.00</c:formatCode>
                <c:ptCount val="11"/>
                <c:pt idx="0">
                  <c:v>0</c:v>
                </c:pt>
                <c:pt idx="1">
                  <c:v>8.85053631741083</c:v>
                </c:pt>
                <c:pt idx="2">
                  <c:v>22.713691868017666</c:v>
                </c:pt>
                <c:pt idx="3">
                  <c:v>40.817095349441416</c:v>
                </c:pt>
                <c:pt idx="4">
                  <c:v>55.47544816835542</c:v>
                </c:pt>
                <c:pt idx="5">
                  <c:v>66.6212003117693</c:v>
                </c:pt>
                <c:pt idx="6">
                  <c:v>76.027539620680685</c:v>
                </c:pt>
                <c:pt idx="7">
                  <c:v>81.988828267082368</c:v>
                </c:pt>
                <c:pt idx="8">
                  <c:v>91.631592621460115</c:v>
                </c:pt>
                <c:pt idx="9">
                  <c:v>98.96076903091712</c:v>
                </c:pt>
                <c:pt idx="10">
                  <c:v>99.011431540659899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4C3-DE4D-8A59-B067D4EFDD46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'Model fit'!$A$20:$A$30</c:f>
              <c:numCache>
                <c:formatCode>General</c:formatCode>
                <c:ptCount val="11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45</c:v>
                </c:pt>
                <c:pt idx="5">
                  <c:v>60</c:v>
                </c:pt>
                <c:pt idx="6">
                  <c:v>75</c:v>
                </c:pt>
                <c:pt idx="7">
                  <c:v>90</c:v>
                </c:pt>
                <c:pt idx="8">
                  <c:v>120</c:v>
                </c:pt>
                <c:pt idx="9">
                  <c:v>180</c:v>
                </c:pt>
                <c:pt idx="10">
                  <c:v>360</c:v>
                </c:pt>
              </c:numCache>
            </c:numRef>
          </c:xVal>
          <c:yVal>
            <c:numRef>
              <c:f>'Model fit'!$C$20:$C$30</c:f>
              <c:numCache>
                <c:formatCode>General</c:formatCode>
                <c:ptCount val="11"/>
                <c:pt idx="0">
                  <c:v>0</c:v>
                </c:pt>
                <c:pt idx="1">
                  <c:v>0.22062357135759114</c:v>
                </c:pt>
                <c:pt idx="2">
                  <c:v>0.55961351542182403</c:v>
                </c:pt>
                <c:pt idx="3">
                  <c:v>0.85806866203131527</c:v>
                </c:pt>
                <c:pt idx="4">
                  <c:v>0.97746924868139884</c:v>
                </c:pt>
                <c:pt idx="5">
                  <c:v>0.99991908422499987</c:v>
                </c:pt>
                <c:pt idx="6">
                  <c:v>1.0075219775150435</c:v>
                </c:pt>
                <c:pt idx="7">
                  <c:v>1.0823817374044551</c:v>
                </c:pt>
                <c:pt idx="8">
                  <c:v>1.7622870923930822</c:v>
                </c:pt>
                <c:pt idx="9">
                  <c:v>7.541747791091459</c:v>
                </c:pt>
                <c:pt idx="10">
                  <c:v>107.52912369624046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4C3-DE4D-8A59-B067D4EFDD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6275296"/>
        <c:axId val="866099840"/>
      </c:scatterChart>
      <c:valAx>
        <c:axId val="8462752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6099840"/>
        <c:crosses val="autoZero"/>
        <c:crossBetween val="midCat"/>
      </c:valAx>
      <c:valAx>
        <c:axId val="866099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62752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'Model fit'!$A$36:$A$46</c:f>
              <c:numCache>
                <c:formatCode>General</c:formatCode>
                <c:ptCount val="11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45</c:v>
                </c:pt>
                <c:pt idx="5">
                  <c:v>60</c:v>
                </c:pt>
                <c:pt idx="6">
                  <c:v>75</c:v>
                </c:pt>
                <c:pt idx="7">
                  <c:v>90</c:v>
                </c:pt>
                <c:pt idx="8">
                  <c:v>120</c:v>
                </c:pt>
                <c:pt idx="9">
                  <c:v>180</c:v>
                </c:pt>
                <c:pt idx="10">
                  <c:v>360</c:v>
                </c:pt>
              </c:numCache>
            </c:numRef>
          </c:xVal>
          <c:yVal>
            <c:numRef>
              <c:f>'Model fit'!$B$36:$B$46</c:f>
              <c:numCache>
                <c:formatCode>General</c:formatCode>
                <c:ptCount val="11"/>
                <c:pt idx="0">
                  <c:v>0</c:v>
                </c:pt>
                <c:pt idx="1">
                  <c:v>1.3597057807555463E-3</c:v>
                </c:pt>
                <c:pt idx="2">
                  <c:v>9.6024346638012847E-3</c:v>
                </c:pt>
                <c:pt idx="3">
                  <c:v>3.4470914248971252E-2</c:v>
                </c:pt>
                <c:pt idx="4">
                  <c:v>7.0615664933556088E-2</c:v>
                </c:pt>
                <c:pt idx="5">
                  <c:v>0.11200762240031692</c:v>
                </c:pt>
                <c:pt idx="6">
                  <c:v>0.16087421134873237</c:v>
                </c:pt>
                <c:pt idx="7">
                  <c:v>0.20171751936333104</c:v>
                </c:pt>
                <c:pt idx="8">
                  <c:v>0.29670308019990255</c:v>
                </c:pt>
                <c:pt idx="9">
                  <c:v>0.43895924014847376</c:v>
                </c:pt>
                <c:pt idx="10">
                  <c:v>0.44079347331375596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419-064A-B8B6-E34DCFDC4877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'Model fit'!$A$36:$A$46</c:f>
              <c:numCache>
                <c:formatCode>General</c:formatCode>
                <c:ptCount val="11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45</c:v>
                </c:pt>
                <c:pt idx="5">
                  <c:v>60</c:v>
                </c:pt>
                <c:pt idx="6">
                  <c:v>75</c:v>
                </c:pt>
                <c:pt idx="7">
                  <c:v>90</c:v>
                </c:pt>
                <c:pt idx="8">
                  <c:v>120</c:v>
                </c:pt>
                <c:pt idx="9">
                  <c:v>180</c:v>
                </c:pt>
                <c:pt idx="10">
                  <c:v>360</c:v>
                </c:pt>
              </c:numCache>
            </c:numRef>
          </c:xVal>
          <c:yVal>
            <c:numRef>
              <c:f>'Model fit'!$C$36:$C$46</c:f>
              <c:numCache>
                <c:formatCode>General</c:formatCode>
                <c:ptCount val="11"/>
                <c:pt idx="0">
                  <c:v>0</c:v>
                </c:pt>
                <c:pt idx="1">
                  <c:v>1.1583974753574644E-2</c:v>
                </c:pt>
                <c:pt idx="2">
                  <c:v>3.4751924260723932E-2</c:v>
                </c:pt>
                <c:pt idx="3">
                  <c:v>6.9503848521447864E-2</c:v>
                </c:pt>
                <c:pt idx="4">
                  <c:v>0.1042557727821718</c:v>
                </c:pt>
                <c:pt idx="5">
                  <c:v>0.13900769704289573</c:v>
                </c:pt>
                <c:pt idx="6">
                  <c:v>0.17375962130361966</c:v>
                </c:pt>
                <c:pt idx="7">
                  <c:v>0.20851154556434359</c:v>
                </c:pt>
                <c:pt idx="8">
                  <c:v>0.27801539408579146</c:v>
                </c:pt>
                <c:pt idx="9">
                  <c:v>0.41702309112868718</c:v>
                </c:pt>
                <c:pt idx="10">
                  <c:v>0.83404618225737437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19-064A-B8B6-E34DCFDC48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6652256"/>
        <c:axId val="864178816"/>
      </c:scatterChart>
      <c:valAx>
        <c:axId val="9266522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4178816"/>
        <c:crosses val="autoZero"/>
        <c:crossBetween val="midCat"/>
      </c:valAx>
      <c:valAx>
        <c:axId val="864178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66522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660400</xdr:colOff>
      <xdr:row>0</xdr:row>
      <xdr:rowOff>95250</xdr:rowOff>
    </xdr:from>
    <xdr:to>
      <xdr:col>9</xdr:col>
      <xdr:colOff>279400</xdr:colOff>
      <xdr:row>13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6EE662D-F222-0B48-BFF6-C2D691407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412750</xdr:colOff>
      <xdr:row>1</xdr:row>
      <xdr:rowOff>19050</xdr:rowOff>
    </xdr:from>
    <xdr:to>
      <xdr:col>19</xdr:col>
      <xdr:colOff>31750</xdr:colOff>
      <xdr:row>14</xdr:row>
      <xdr:rowOff>120650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9353F98-AA60-0B4A-95CA-8CD54339E0F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304800</xdr:colOff>
      <xdr:row>0</xdr:row>
      <xdr:rowOff>107950</xdr:rowOff>
    </xdr:from>
    <xdr:to>
      <xdr:col>11</xdr:col>
      <xdr:colOff>749300</xdr:colOff>
      <xdr:row>13</xdr:row>
      <xdr:rowOff>165100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8C04190-FA0D-1848-90C5-2AB947A7B1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793750</xdr:colOff>
      <xdr:row>73</xdr:row>
      <xdr:rowOff>158750</xdr:rowOff>
    </xdr:from>
    <xdr:to>
      <xdr:col>17</xdr:col>
      <xdr:colOff>412750</xdr:colOff>
      <xdr:row>87</xdr:row>
      <xdr:rowOff>57150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9DF55B0-5796-A344-8D33-13F4DA72032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660400</xdr:colOff>
      <xdr:row>0</xdr:row>
      <xdr:rowOff>95250</xdr:rowOff>
    </xdr:from>
    <xdr:to>
      <xdr:col>9</xdr:col>
      <xdr:colOff>279400</xdr:colOff>
      <xdr:row>13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F1AAC4F-6692-FE47-8CD0-165533872BC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660400</xdr:colOff>
      <xdr:row>0</xdr:row>
      <xdr:rowOff>95250</xdr:rowOff>
    </xdr:from>
    <xdr:to>
      <xdr:col>9</xdr:col>
      <xdr:colOff>279400</xdr:colOff>
      <xdr:row>13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4DE5FE3-C96A-A448-85CF-64DB69930C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590550</xdr:colOff>
      <xdr:row>1</xdr:row>
      <xdr:rowOff>31750</xdr:rowOff>
    </xdr:from>
    <xdr:to>
      <xdr:col>15</xdr:col>
      <xdr:colOff>209550</xdr:colOff>
      <xdr:row>14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AA28501-A2C1-4945-800A-C04F21E4C81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431800</xdr:colOff>
      <xdr:row>16</xdr:row>
      <xdr:rowOff>158750</xdr:rowOff>
    </xdr:from>
    <xdr:to>
      <xdr:col>15</xdr:col>
      <xdr:colOff>50800</xdr:colOff>
      <xdr:row>30</xdr:row>
      <xdr:rowOff>57150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4114723-3C6B-344B-9844-8194A87A839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368300</xdr:colOff>
      <xdr:row>33</xdr:row>
      <xdr:rowOff>133350</xdr:rowOff>
    </xdr:from>
    <xdr:to>
      <xdr:col>14</xdr:col>
      <xdr:colOff>812800</xdr:colOff>
      <xdr:row>47</xdr:row>
      <xdr:rowOff>31750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E4CF108-FE49-7641-B2A2-23D7DEA9400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590550</xdr:colOff>
      <xdr:row>1</xdr:row>
      <xdr:rowOff>31750</xdr:rowOff>
    </xdr:from>
    <xdr:to>
      <xdr:col>15</xdr:col>
      <xdr:colOff>209550</xdr:colOff>
      <xdr:row>14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CAAB28C-3DBA-414C-A357-F40C15B300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431800</xdr:colOff>
      <xdr:row>16</xdr:row>
      <xdr:rowOff>158750</xdr:rowOff>
    </xdr:from>
    <xdr:to>
      <xdr:col>15</xdr:col>
      <xdr:colOff>50800</xdr:colOff>
      <xdr:row>30</xdr:row>
      <xdr:rowOff>57150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5C3B005-4718-B647-A83A-88A3509F409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368300</xdr:colOff>
      <xdr:row>33</xdr:row>
      <xdr:rowOff>133350</xdr:rowOff>
    </xdr:from>
    <xdr:to>
      <xdr:col>14</xdr:col>
      <xdr:colOff>812800</xdr:colOff>
      <xdr:row>47</xdr:row>
      <xdr:rowOff>31750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FBFE4C1-4246-2F43-95CF-46135F31910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8570E58-A3DB-3D41-935D-7ED4C75E52E8}" name="Table1" displayName="Table1" ref="A16:B21" totalsRowShown="0">
  <autoFilter ref="A16:B21" xr:uid="{BBC66030-C571-0E4D-B204-EE979B493E66}"/>
  <tableColumns count="2">
    <tableColumn id="1" xr3:uid="{B0204510-251A-BA43-89AE-89ED83BC39AD}" name="Column1"/>
    <tableColumn id="2" xr3:uid="{5BCB9A76-5A70-674E-B179-D48C56A6CAB6}" name="Column2"/>
  </tableColumns>
  <tableStyleInfo name="TableStyleMedium2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C51B652-9237-B54D-8D17-86AF202D0BE6}" name="Table13" displayName="Table13" ref="A16:B21" totalsRowShown="0">
  <autoFilter ref="A16:B21" xr:uid="{BBC66030-C571-0E4D-B204-EE979B493E66}"/>
  <tableColumns count="2">
    <tableColumn id="1" xr3:uid="{E05D20EB-2B0C-F044-A2F6-365CF948C724}" name="Column1"/>
    <tableColumn id="2" xr3:uid="{3FAAC615-432B-2E42-81C7-E68EB5C0EFF8}" name="Column2"/>
  </tableColumns>
  <tableStyleInfo name="TableStyleMedium2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96973B2B-EE80-5C4B-A4F7-9D061072A887}" name="Table154" displayName="Table154" ref="A16:B21" totalsRowShown="0">
  <autoFilter ref="A16:B21" xr:uid="{BBC66030-C571-0E4D-B204-EE979B493E66}"/>
  <tableColumns count="2">
    <tableColumn id="1" xr3:uid="{DAD2E8A4-556E-0C43-AEAB-A52A716EAD72}" name="Column1"/>
    <tableColumn id="2" xr3:uid="{79F1BEFD-28FF-7A49-B5A7-0880693AF43D}" name="Column2"/>
  </tableColumns>
  <tableStyleInfo name="TableStyleMedium2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A328523-6FA7-3243-8CF7-23EB4B571A48}" name="Table15" displayName="Table15" ref="A16:B21" totalsRowShown="0">
  <autoFilter ref="A16:B21" xr:uid="{BBC66030-C571-0E4D-B204-EE979B493E66}"/>
  <tableColumns count="2">
    <tableColumn id="1" xr3:uid="{E746D02F-7F19-834A-90D3-76905A432BE7}" name="Column1"/>
    <tableColumn id="2" xr3:uid="{D0D4B0A9-DC39-6443-8DD3-38AFCE429265}" name="Column2"/>
  </tableColumns>
  <tableStyleInfo name="TableStyleMedium2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43C43C-23D6-5D40-BCD1-97833DB9A529}">
  <dimension ref="A1:T69"/>
  <sheetViews>
    <sheetView topLeftCell="A29" workbookViewId="0">
      <selection activeCell="B31" sqref="B31"/>
    </sheetView>
  </sheetViews>
  <sheetFormatPr baseColWidth="10" defaultRowHeight="16"/>
  <cols>
    <col min="2" max="2" width="21" customWidth="1"/>
  </cols>
  <sheetData>
    <row r="1" spans="1:13">
      <c r="A1" t="s">
        <v>18</v>
      </c>
      <c r="L1" t="s">
        <v>18</v>
      </c>
    </row>
    <row r="2" spans="1:13">
      <c r="A2" t="s">
        <v>17</v>
      </c>
      <c r="B2" t="s">
        <v>16</v>
      </c>
      <c r="L2" t="s">
        <v>17</v>
      </c>
      <c r="M2" t="s">
        <v>16</v>
      </c>
    </row>
    <row r="3" spans="1:13">
      <c r="A3" s="26">
        <v>5.0000000000000001E-4</v>
      </c>
      <c r="B3" s="27">
        <v>22.8</v>
      </c>
      <c r="L3" s="26">
        <v>5.0000000000000001E-4</v>
      </c>
      <c r="M3" s="27">
        <v>25.7</v>
      </c>
    </row>
    <row r="4" spans="1:13">
      <c r="A4" s="26">
        <v>1E-3</v>
      </c>
      <c r="B4" s="28">
        <v>43.6</v>
      </c>
      <c r="L4" s="26">
        <v>1E-3</v>
      </c>
      <c r="M4" s="28">
        <v>57.8</v>
      </c>
    </row>
    <row r="5" spans="1:13">
      <c r="A5" s="26">
        <v>0.01</v>
      </c>
      <c r="B5" s="28">
        <v>474.9</v>
      </c>
      <c r="L5" s="26">
        <v>0.01</v>
      </c>
      <c r="M5" s="28">
        <v>451.8</v>
      </c>
    </row>
    <row r="6" spans="1:13">
      <c r="A6" s="26">
        <v>0.1</v>
      </c>
      <c r="B6" s="28">
        <v>4473.3</v>
      </c>
      <c r="L6" s="26">
        <v>0.1</v>
      </c>
      <c r="M6" s="28">
        <v>4474.2</v>
      </c>
    </row>
    <row r="7" spans="1:13">
      <c r="A7" s="26">
        <v>0.5</v>
      </c>
      <c r="B7" s="28">
        <v>21377.7</v>
      </c>
      <c r="L7" s="26">
        <v>0.5</v>
      </c>
      <c r="M7" s="28">
        <v>20123.099999999999</v>
      </c>
    </row>
    <row r="9" spans="1:13">
      <c r="A9" t="s">
        <v>0</v>
      </c>
      <c r="B9" t="s">
        <v>15</v>
      </c>
      <c r="L9" t="s">
        <v>0</v>
      </c>
      <c r="M9" t="s">
        <v>15</v>
      </c>
    </row>
    <row r="10" spans="1:13">
      <c r="A10" t="e">
        <f>STDEV(C1:C3)</f>
        <v>#DIV/0!</v>
      </c>
      <c r="B10" t="e">
        <f>3*A10/26064</f>
        <v>#DIV/0!</v>
      </c>
      <c r="L10" t="e">
        <f>STDEV(N1:N3)</f>
        <v>#DIV/0!</v>
      </c>
      <c r="M10" t="e">
        <f>3*L10/26064</f>
        <v>#DIV/0!</v>
      </c>
    </row>
    <row r="16" spans="1:13">
      <c r="A16" t="s">
        <v>26</v>
      </c>
      <c r="B16" t="s">
        <v>27</v>
      </c>
    </row>
    <row r="17" spans="1:20">
      <c r="A17" t="s">
        <v>22</v>
      </c>
      <c r="B17" t="s">
        <v>36</v>
      </c>
    </row>
    <row r="18" spans="1:20">
      <c r="A18" t="s">
        <v>23</v>
      </c>
      <c r="B18" t="s">
        <v>35</v>
      </c>
    </row>
    <row r="19" spans="1:20">
      <c r="A19" t="s">
        <v>24</v>
      </c>
      <c r="B19" t="s">
        <v>28</v>
      </c>
    </row>
    <row r="20" spans="1:20">
      <c r="A20" t="s">
        <v>25</v>
      </c>
      <c r="B20" t="s">
        <v>29</v>
      </c>
    </row>
    <row r="21" spans="1:20">
      <c r="A21" t="s">
        <v>30</v>
      </c>
      <c r="B21" t="s">
        <v>37</v>
      </c>
    </row>
    <row r="24" spans="1:20">
      <c r="A24" t="s">
        <v>42</v>
      </c>
      <c r="B24" t="s">
        <v>34</v>
      </c>
      <c r="D24" t="s">
        <v>42</v>
      </c>
      <c r="E24" t="s">
        <v>73</v>
      </c>
    </row>
    <row r="25" spans="1:20">
      <c r="A25" t="s">
        <v>16</v>
      </c>
      <c r="B25" t="s">
        <v>21</v>
      </c>
      <c r="D25" t="s">
        <v>16</v>
      </c>
      <c r="E25" t="s">
        <v>21</v>
      </c>
    </row>
    <row r="26" spans="1:20">
      <c r="A26">
        <v>29124.9</v>
      </c>
      <c r="B26">
        <f>A26/42833</f>
        <v>0.67996404641281261</v>
      </c>
      <c r="D26">
        <v>672.6</v>
      </c>
      <c r="E26">
        <f>D26/42833</f>
        <v>1.5702845936544255E-2</v>
      </c>
    </row>
    <row r="27" spans="1:20">
      <c r="A27">
        <v>28720.400000000001</v>
      </c>
      <c r="B27">
        <f t="shared" ref="B27:B28" si="0">A27/42833</f>
        <v>0.6705203931548106</v>
      </c>
      <c r="D27">
        <v>1144.2</v>
      </c>
      <c r="E27">
        <f t="shared" ref="E27:E28" si="1">D27/42833</f>
        <v>2.6713048350570822E-2</v>
      </c>
    </row>
    <row r="28" spans="1:20">
      <c r="A28">
        <v>28830.2</v>
      </c>
      <c r="B28">
        <f t="shared" si="0"/>
        <v>0.67308383722830534</v>
      </c>
      <c r="D28">
        <v>1014.4</v>
      </c>
      <c r="E28">
        <f t="shared" si="1"/>
        <v>2.3682674573342982E-2</v>
      </c>
    </row>
    <row r="29" spans="1:20">
      <c r="B29">
        <f>AVERAGE(B26:B28)</f>
        <v>0.67452275893197611</v>
      </c>
      <c r="E29">
        <f>AVERAGE(E26:E28)</f>
        <v>2.2032856286819353E-2</v>
      </c>
    </row>
    <row r="30" spans="1:20">
      <c r="B30">
        <f>STDEV(B26:B28)</f>
        <v>4.8834944933228118E-3</v>
      </c>
      <c r="E30">
        <f>STDEV(E26:E28)</f>
        <v>5.6874919413894484E-3</v>
      </c>
    </row>
    <row r="31" spans="1:20" ht="17" thickBot="1"/>
    <row r="32" spans="1:20">
      <c r="A32" s="42" t="s">
        <v>38</v>
      </c>
      <c r="B32" s="43"/>
      <c r="C32" s="18">
        <v>5</v>
      </c>
      <c r="D32" s="18"/>
      <c r="E32" s="17"/>
      <c r="F32" s="2"/>
      <c r="G32" s="42" t="s">
        <v>38</v>
      </c>
      <c r="H32" s="43"/>
      <c r="I32" s="18">
        <v>5</v>
      </c>
      <c r="J32" s="18"/>
      <c r="K32" s="17"/>
      <c r="L32" s="2"/>
      <c r="M32" s="42" t="s">
        <v>38</v>
      </c>
      <c r="N32" s="43"/>
      <c r="O32" s="18">
        <v>5</v>
      </c>
      <c r="P32" s="18"/>
      <c r="Q32" s="17"/>
      <c r="R32" s="6"/>
      <c r="S32" s="2"/>
      <c r="T32" s="2"/>
    </row>
    <row r="33" spans="1:20" ht="17" thickBot="1">
      <c r="A33" s="16" t="s">
        <v>13</v>
      </c>
      <c r="B33" s="15"/>
      <c r="C33" s="6"/>
      <c r="D33" s="6"/>
      <c r="E33" s="11"/>
      <c r="F33" s="2"/>
      <c r="G33" s="16" t="s">
        <v>12</v>
      </c>
      <c r="H33" s="15"/>
      <c r="I33" s="6"/>
      <c r="J33" s="6"/>
      <c r="K33" s="11"/>
      <c r="L33" s="2"/>
      <c r="M33" s="16" t="s">
        <v>11</v>
      </c>
      <c r="N33" s="15"/>
      <c r="O33" s="6"/>
      <c r="P33" s="6"/>
      <c r="Q33" s="11"/>
      <c r="R33" s="6"/>
      <c r="S33" s="2"/>
      <c r="T33" s="2"/>
    </row>
    <row r="34" spans="1:20">
      <c r="A34" s="7" t="s">
        <v>6</v>
      </c>
      <c r="B34" s="6" t="s">
        <v>5</v>
      </c>
      <c r="C34" s="6" t="s">
        <v>4</v>
      </c>
      <c r="D34" s="6" t="s">
        <v>3</v>
      </c>
      <c r="E34" s="11" t="s">
        <v>2</v>
      </c>
      <c r="F34" s="2"/>
      <c r="G34" s="7" t="s">
        <v>6</v>
      </c>
      <c r="H34" s="6" t="s">
        <v>5</v>
      </c>
      <c r="I34" s="6" t="s">
        <v>4</v>
      </c>
      <c r="J34" s="6" t="s">
        <v>3</v>
      </c>
      <c r="K34" s="11" t="s">
        <v>2</v>
      </c>
      <c r="L34" s="2"/>
      <c r="M34" s="7" t="s">
        <v>6</v>
      </c>
      <c r="N34" s="6" t="s">
        <v>5</v>
      </c>
      <c r="O34" s="6" t="s">
        <v>4</v>
      </c>
      <c r="P34" s="6" t="s">
        <v>3</v>
      </c>
      <c r="Q34" s="11" t="s">
        <v>2</v>
      </c>
      <c r="R34" s="6"/>
      <c r="S34" s="13" t="s">
        <v>1</v>
      </c>
      <c r="T34" s="12" t="s">
        <v>0</v>
      </c>
    </row>
    <row r="35" spans="1:20">
      <c r="A35" s="7">
        <v>0</v>
      </c>
      <c r="B35" s="10">
        <v>0</v>
      </c>
      <c r="C35" s="5">
        <v>0</v>
      </c>
      <c r="D35" s="5">
        <v>0</v>
      </c>
      <c r="E35" s="3">
        <v>14</v>
      </c>
      <c r="F35" s="2"/>
      <c r="G35" s="7">
        <v>0</v>
      </c>
      <c r="H35" s="10">
        <v>0</v>
      </c>
      <c r="I35" s="5">
        <v>0</v>
      </c>
      <c r="J35" s="5">
        <v>0</v>
      </c>
      <c r="K35" s="3">
        <v>14</v>
      </c>
      <c r="L35" s="2"/>
      <c r="M35" s="7">
        <v>0</v>
      </c>
      <c r="N35" s="10">
        <v>0</v>
      </c>
      <c r="O35" s="5">
        <f>N35/25144</f>
        <v>0</v>
      </c>
      <c r="P35" s="5">
        <f>O35*900</f>
        <v>0</v>
      </c>
      <c r="Q35" s="3">
        <v>14</v>
      </c>
      <c r="R35" s="1"/>
      <c r="S35" s="4">
        <f t="shared" ref="S35:S45" si="2">AVERAGE(E35,K35,Q35)</f>
        <v>14</v>
      </c>
      <c r="T35" s="3">
        <f t="shared" ref="T35:T45" si="3">STDEVP(E35,K35,Q35)</f>
        <v>0</v>
      </c>
    </row>
    <row r="36" spans="1:20">
      <c r="A36" s="7">
        <v>5</v>
      </c>
      <c r="B36" s="10">
        <v>126.9</v>
      </c>
      <c r="C36" s="5">
        <f>B36/40421</f>
        <v>3.1394572128349129E-3</v>
      </c>
      <c r="D36" s="5">
        <f>C36*1.8*900</f>
        <v>5.0859206847925593</v>
      </c>
      <c r="E36" s="3">
        <f>D36/5*100</f>
        <v>101.7184136958512</v>
      </c>
      <c r="F36" s="2"/>
      <c r="G36" s="7">
        <v>5</v>
      </c>
      <c r="H36" s="10">
        <v>126</v>
      </c>
      <c r="I36" s="5">
        <f>H36/40421</f>
        <v>3.1171915588431758E-3</v>
      </c>
      <c r="J36" s="5">
        <f>I36*1.8*900</f>
        <v>5.049850325325945</v>
      </c>
      <c r="K36" s="3">
        <f>J36/5*100</f>
        <v>100.9970065065189</v>
      </c>
      <c r="L36" s="2"/>
      <c r="M36" s="7">
        <v>5</v>
      </c>
      <c r="N36" s="10">
        <v>126.3</v>
      </c>
      <c r="O36" s="5">
        <f>N36/40421</f>
        <v>3.1246134435070879E-3</v>
      </c>
      <c r="P36" s="5">
        <f>O36*1.8*900</f>
        <v>5.0618737784814831</v>
      </c>
      <c r="Q36" s="3">
        <f>P36/5*100</f>
        <v>101.23747556962965</v>
      </c>
      <c r="R36" s="1"/>
      <c r="S36" s="4">
        <f t="shared" si="2"/>
        <v>101.31763192399991</v>
      </c>
      <c r="T36" s="3">
        <f t="shared" si="3"/>
        <v>0.29991761542633627</v>
      </c>
    </row>
    <row r="37" spans="1:20">
      <c r="A37" s="7">
        <v>15</v>
      </c>
      <c r="B37" s="10">
        <v>121.3</v>
      </c>
      <c r="C37" s="5">
        <f t="shared" ref="C37:C45" si="4">B37/40421</f>
        <v>3.0009153657752159E-3</v>
      </c>
      <c r="D37" s="5">
        <f t="shared" ref="D37:D45" si="5">C37*1.8*900</f>
        <v>4.8614828925558493</v>
      </c>
      <c r="E37" s="3">
        <f t="shared" ref="E37:E45" si="6">D37/5*100</f>
        <v>97.229657851116997</v>
      </c>
      <c r="F37" s="2"/>
      <c r="G37" s="7">
        <v>15</v>
      </c>
      <c r="H37" s="6">
        <v>123.8</v>
      </c>
      <c r="I37" s="5">
        <f t="shared" ref="I37:I45" si="7">H37/40421</f>
        <v>3.0627644046411517E-3</v>
      </c>
      <c r="J37" s="5">
        <f t="shared" ref="J37:J45" si="8">I37*1.8*900</f>
        <v>4.9616783355186662</v>
      </c>
      <c r="K37" s="3">
        <f t="shared" ref="K37:K45" si="9">J37/5*100</f>
        <v>99.233566710373324</v>
      </c>
      <c r="L37" s="2"/>
      <c r="M37" s="7">
        <v>15</v>
      </c>
      <c r="N37" s="6">
        <v>124</v>
      </c>
      <c r="O37" s="5">
        <f t="shared" ref="O37:O45" si="10">N37/40421</f>
        <v>3.0677123277504268E-3</v>
      </c>
      <c r="P37" s="5">
        <f t="shared" ref="P37:P45" si="11">O37*1.8*900</f>
        <v>4.9696939709556913</v>
      </c>
      <c r="Q37" s="3">
        <f t="shared" ref="Q37:Q45" si="12">P37/5*100</f>
        <v>99.39387941911383</v>
      </c>
      <c r="R37" s="1"/>
      <c r="S37" s="4">
        <f t="shared" si="2"/>
        <v>98.619034660201393</v>
      </c>
      <c r="T37" s="3">
        <f t="shared" si="3"/>
        <v>0.98461531552922199</v>
      </c>
    </row>
    <row r="38" spans="1:20">
      <c r="A38" s="7">
        <v>30</v>
      </c>
      <c r="B38" s="6">
        <v>124.3</v>
      </c>
      <c r="C38" s="5">
        <f t="shared" si="4"/>
        <v>3.0751342124143389E-3</v>
      </c>
      <c r="D38" s="5">
        <f t="shared" si="5"/>
        <v>4.9817174241112294</v>
      </c>
      <c r="E38" s="3">
        <f t="shared" si="6"/>
        <v>99.634348482224596</v>
      </c>
      <c r="F38" s="2"/>
      <c r="G38" s="7">
        <v>30</v>
      </c>
      <c r="H38" s="6">
        <v>122.6</v>
      </c>
      <c r="I38" s="5">
        <f t="shared" si="7"/>
        <v>3.0330768659855025E-3</v>
      </c>
      <c r="J38" s="5">
        <f t="shared" si="8"/>
        <v>4.9135845228965138</v>
      </c>
      <c r="K38" s="3">
        <f t="shared" si="9"/>
        <v>98.271690457930276</v>
      </c>
      <c r="L38" s="2"/>
      <c r="M38" s="7">
        <v>30</v>
      </c>
      <c r="N38" s="6">
        <v>123.8</v>
      </c>
      <c r="O38" s="5">
        <f t="shared" si="10"/>
        <v>3.0627644046411517E-3</v>
      </c>
      <c r="P38" s="5">
        <f t="shared" si="11"/>
        <v>4.9616783355186662</v>
      </c>
      <c r="Q38" s="3">
        <f t="shared" si="12"/>
        <v>99.233566710373324</v>
      </c>
      <c r="R38" s="1"/>
      <c r="S38" s="4">
        <f t="shared" si="2"/>
        <v>99.046535216842742</v>
      </c>
      <c r="T38" s="3">
        <f t="shared" si="3"/>
        <v>0.57180696478948045</v>
      </c>
    </row>
    <row r="39" spans="1:20">
      <c r="A39" s="7">
        <v>45</v>
      </c>
      <c r="B39" s="6">
        <v>123.2</v>
      </c>
      <c r="C39" s="5">
        <f t="shared" si="4"/>
        <v>3.0479206353133271E-3</v>
      </c>
      <c r="D39" s="5">
        <f t="shared" si="5"/>
        <v>4.93763142920759</v>
      </c>
      <c r="E39" s="3">
        <f t="shared" si="6"/>
        <v>98.752628584151807</v>
      </c>
      <c r="F39" s="2"/>
      <c r="G39" s="7">
        <v>45</v>
      </c>
      <c r="H39" s="6">
        <v>123.2</v>
      </c>
      <c r="I39" s="5">
        <f t="shared" si="7"/>
        <v>3.0479206353133271E-3</v>
      </c>
      <c r="J39" s="5">
        <f t="shared" si="8"/>
        <v>4.93763142920759</v>
      </c>
      <c r="K39" s="3">
        <f t="shared" si="9"/>
        <v>98.752628584151807</v>
      </c>
      <c r="L39" s="2"/>
      <c r="M39" s="7">
        <v>45</v>
      </c>
      <c r="N39" s="6">
        <v>123.4</v>
      </c>
      <c r="O39" s="5">
        <f t="shared" si="10"/>
        <v>3.0528685584226022E-3</v>
      </c>
      <c r="P39" s="5">
        <f t="shared" si="11"/>
        <v>4.945647064644616</v>
      </c>
      <c r="Q39" s="3">
        <f t="shared" si="12"/>
        <v>98.912941292892327</v>
      </c>
      <c r="R39" s="1"/>
      <c r="S39" s="4">
        <f t="shared" si="2"/>
        <v>98.80606615373199</v>
      </c>
      <c r="T39" s="3">
        <f t="shared" si="3"/>
        <v>7.5572135640536983E-2</v>
      </c>
    </row>
    <row r="40" spans="1:20">
      <c r="A40" s="7">
        <v>60</v>
      </c>
      <c r="B40" s="6">
        <v>121.4</v>
      </c>
      <c r="C40" s="5">
        <f t="shared" si="4"/>
        <v>3.0033893273298533E-3</v>
      </c>
      <c r="D40" s="5">
        <f t="shared" si="5"/>
        <v>4.8654907102743623</v>
      </c>
      <c r="E40" s="3">
        <f t="shared" si="6"/>
        <v>97.309814205487243</v>
      </c>
      <c r="F40" s="2"/>
      <c r="G40" s="7">
        <v>60</v>
      </c>
      <c r="H40" s="6">
        <v>123.9</v>
      </c>
      <c r="I40" s="5">
        <f t="shared" si="7"/>
        <v>3.0652383661957895E-3</v>
      </c>
      <c r="J40" s="5">
        <f t="shared" si="8"/>
        <v>4.9656861532371792</v>
      </c>
      <c r="K40" s="3">
        <f t="shared" si="9"/>
        <v>99.313723064743584</v>
      </c>
      <c r="L40" s="2"/>
      <c r="M40" s="7">
        <v>60</v>
      </c>
      <c r="N40" s="6">
        <v>122.2</v>
      </c>
      <c r="O40" s="5">
        <f t="shared" si="10"/>
        <v>3.0231810197669531E-3</v>
      </c>
      <c r="P40" s="5">
        <f t="shared" si="11"/>
        <v>4.8975532520224645</v>
      </c>
      <c r="Q40" s="3">
        <f t="shared" si="12"/>
        <v>97.951065040449294</v>
      </c>
      <c r="R40" s="1"/>
      <c r="S40" s="4">
        <f t="shared" si="2"/>
        <v>98.191534103560045</v>
      </c>
      <c r="T40" s="3">
        <f t="shared" si="3"/>
        <v>0.83557633075880955</v>
      </c>
    </row>
    <row r="41" spans="1:20">
      <c r="A41" s="7">
        <v>75</v>
      </c>
      <c r="B41" s="6">
        <v>121.1</v>
      </c>
      <c r="C41" s="5">
        <f t="shared" si="4"/>
        <v>2.9959674426659408E-3</v>
      </c>
      <c r="D41" s="5">
        <f t="shared" si="5"/>
        <v>4.8534672571188242</v>
      </c>
      <c r="E41" s="3">
        <f t="shared" si="6"/>
        <v>97.069345142376477</v>
      </c>
      <c r="F41" s="2"/>
      <c r="G41" s="7">
        <v>75</v>
      </c>
      <c r="H41" s="6">
        <v>122.2</v>
      </c>
      <c r="I41" s="5">
        <f t="shared" si="7"/>
        <v>3.0231810197669531E-3</v>
      </c>
      <c r="J41" s="5">
        <f t="shared" si="8"/>
        <v>4.8975532520224645</v>
      </c>
      <c r="K41" s="3">
        <f t="shared" si="9"/>
        <v>97.951065040449294</v>
      </c>
      <c r="L41" s="2"/>
      <c r="M41" s="7">
        <v>75</v>
      </c>
      <c r="N41" s="10">
        <v>121</v>
      </c>
      <c r="O41" s="5">
        <f t="shared" si="10"/>
        <v>2.9934934811113034E-3</v>
      </c>
      <c r="P41" s="5">
        <f t="shared" si="11"/>
        <v>4.8494594394003121</v>
      </c>
      <c r="Q41" s="3">
        <f t="shared" si="12"/>
        <v>96.989188788006246</v>
      </c>
      <c r="R41" s="1"/>
      <c r="S41" s="4">
        <f t="shared" si="2"/>
        <v>97.336532990277348</v>
      </c>
      <c r="T41" s="3"/>
    </row>
    <row r="42" spans="1:20">
      <c r="A42" s="7">
        <v>90</v>
      </c>
      <c r="B42" s="10">
        <v>123.4</v>
      </c>
      <c r="C42" s="5">
        <f t="shared" si="4"/>
        <v>3.0528685584226022E-3</v>
      </c>
      <c r="D42" s="5">
        <f t="shared" si="5"/>
        <v>4.945647064644616</v>
      </c>
      <c r="E42" s="3">
        <f t="shared" si="6"/>
        <v>98.912941292892327</v>
      </c>
      <c r="F42" s="2"/>
      <c r="G42" s="9">
        <v>90</v>
      </c>
      <c r="H42" s="8">
        <v>121.8</v>
      </c>
      <c r="I42" s="5">
        <f t="shared" si="7"/>
        <v>3.0132851735484032E-3</v>
      </c>
      <c r="J42" s="5">
        <f t="shared" si="8"/>
        <v>4.8815219811484134</v>
      </c>
      <c r="K42" s="3">
        <f t="shared" si="9"/>
        <v>97.630439622968268</v>
      </c>
      <c r="L42" s="2"/>
      <c r="M42" s="7">
        <v>90</v>
      </c>
      <c r="N42" s="6">
        <v>122.3</v>
      </c>
      <c r="O42" s="5">
        <f t="shared" si="10"/>
        <v>3.02565498132159E-3</v>
      </c>
      <c r="P42" s="5">
        <f t="shared" si="11"/>
        <v>4.9015610697409757</v>
      </c>
      <c r="Q42" s="3">
        <f t="shared" si="12"/>
        <v>98.031221394819511</v>
      </c>
      <c r="R42" s="1"/>
      <c r="S42" s="4">
        <f t="shared" si="2"/>
        <v>98.191534103560045</v>
      </c>
      <c r="T42" s="3">
        <f t="shared" si="3"/>
        <v>0.53570996927895809</v>
      </c>
    </row>
    <row r="43" spans="1:20">
      <c r="A43" s="7">
        <v>120</v>
      </c>
      <c r="B43" s="10">
        <v>122.7</v>
      </c>
      <c r="C43" s="5">
        <f t="shared" si="4"/>
        <v>3.0355508275401403E-3</v>
      </c>
      <c r="D43" s="5">
        <f t="shared" si="5"/>
        <v>4.9175923406150277</v>
      </c>
      <c r="E43" s="3">
        <f t="shared" si="6"/>
        <v>98.351846812300565</v>
      </c>
      <c r="F43" s="2"/>
      <c r="G43" s="9">
        <v>120</v>
      </c>
      <c r="H43" s="8">
        <v>121.7</v>
      </c>
      <c r="I43" s="5">
        <f t="shared" si="7"/>
        <v>3.0108112119937658E-3</v>
      </c>
      <c r="J43" s="5">
        <f t="shared" si="8"/>
        <v>4.8775141634299013</v>
      </c>
      <c r="K43" s="3">
        <f t="shared" si="9"/>
        <v>97.550283268598022</v>
      </c>
      <c r="L43" s="2"/>
      <c r="M43" s="7">
        <v>120</v>
      </c>
      <c r="N43" s="6">
        <v>121.1</v>
      </c>
      <c r="O43" s="5">
        <f t="shared" si="10"/>
        <v>2.9959674426659408E-3</v>
      </c>
      <c r="P43" s="5">
        <f t="shared" si="11"/>
        <v>4.8534672571188242</v>
      </c>
      <c r="Q43" s="3">
        <f t="shared" si="12"/>
        <v>97.069345142376477</v>
      </c>
      <c r="R43" s="1"/>
      <c r="S43" s="4">
        <f t="shared" si="2"/>
        <v>97.657158407758359</v>
      </c>
      <c r="T43" s="3">
        <f t="shared" si="3"/>
        <v>0.52900494948372878</v>
      </c>
    </row>
    <row r="44" spans="1:20">
      <c r="A44" s="7">
        <v>180</v>
      </c>
      <c r="B44" s="10">
        <v>121.4</v>
      </c>
      <c r="C44" s="5">
        <f t="shared" si="4"/>
        <v>3.0033893273298533E-3</v>
      </c>
      <c r="D44" s="5">
        <f t="shared" si="5"/>
        <v>4.8654907102743623</v>
      </c>
      <c r="E44" s="3">
        <f t="shared" si="6"/>
        <v>97.309814205487243</v>
      </c>
      <c r="F44" s="2"/>
      <c r="G44" s="9">
        <v>180</v>
      </c>
      <c r="H44" s="8">
        <v>120.8</v>
      </c>
      <c r="I44" s="5">
        <f t="shared" si="7"/>
        <v>2.9885455580020287E-3</v>
      </c>
      <c r="J44" s="5">
        <f t="shared" si="8"/>
        <v>4.841443803963287</v>
      </c>
      <c r="K44" s="3">
        <f t="shared" si="9"/>
        <v>96.82887607926574</v>
      </c>
      <c r="L44" s="2"/>
      <c r="M44" s="7">
        <v>180</v>
      </c>
      <c r="N44" s="6">
        <v>120.6</v>
      </c>
      <c r="O44" s="5">
        <f t="shared" si="10"/>
        <v>2.9835976348927535E-3</v>
      </c>
      <c r="P44" s="5">
        <f t="shared" si="11"/>
        <v>4.8334281685262601</v>
      </c>
      <c r="Q44" s="3">
        <f t="shared" si="12"/>
        <v>96.668563370525206</v>
      </c>
      <c r="R44" s="1"/>
      <c r="S44" s="4">
        <f t="shared" si="2"/>
        <v>96.935751218426063</v>
      </c>
      <c r="T44" s="3">
        <f t="shared" si="3"/>
        <v>0.27247921004825437</v>
      </c>
    </row>
    <row r="45" spans="1:20">
      <c r="A45" s="6">
        <v>360</v>
      </c>
      <c r="B45" s="10">
        <v>117.6</v>
      </c>
      <c r="C45" s="5">
        <f t="shared" si="4"/>
        <v>2.9093787882536306E-3</v>
      </c>
      <c r="D45" s="5">
        <f t="shared" si="5"/>
        <v>4.7131936369708818</v>
      </c>
      <c r="E45" s="3">
        <f t="shared" si="6"/>
        <v>94.263872739417636</v>
      </c>
      <c r="F45" s="2"/>
      <c r="G45" s="22">
        <v>360</v>
      </c>
      <c r="H45" s="8">
        <v>121.1</v>
      </c>
      <c r="I45" s="5">
        <f t="shared" si="7"/>
        <v>2.9959674426659408E-3</v>
      </c>
      <c r="J45" s="5">
        <f t="shared" si="8"/>
        <v>4.8534672571188242</v>
      </c>
      <c r="K45" s="3">
        <f t="shared" si="9"/>
        <v>97.069345142376477</v>
      </c>
      <c r="L45" s="2"/>
      <c r="M45" s="6">
        <v>360</v>
      </c>
      <c r="N45" s="6">
        <v>120.2</v>
      </c>
      <c r="O45" s="5">
        <f t="shared" si="10"/>
        <v>2.9737017886742041E-3</v>
      </c>
      <c r="P45" s="5">
        <f t="shared" si="11"/>
        <v>4.8173968976522108</v>
      </c>
      <c r="Q45" s="3">
        <f t="shared" si="12"/>
        <v>96.347937953044209</v>
      </c>
      <c r="R45" s="1"/>
      <c r="S45" s="4">
        <f t="shared" si="2"/>
        <v>95.893718611612769</v>
      </c>
      <c r="T45" s="1">
        <f t="shared" si="3"/>
        <v>1.1895111765031099</v>
      </c>
    </row>
    <row r="46" spans="1:20">
      <c r="A46" s="6"/>
      <c r="B46" s="10"/>
      <c r="C46" s="5"/>
      <c r="D46" s="5"/>
      <c r="E46" s="1"/>
      <c r="F46" s="2"/>
      <c r="G46" s="22"/>
      <c r="H46" s="8"/>
      <c r="I46" s="5"/>
      <c r="J46" s="5"/>
      <c r="K46" s="1"/>
      <c r="L46" s="2"/>
      <c r="M46" s="6"/>
      <c r="N46" s="6"/>
      <c r="O46" s="5"/>
      <c r="P46" s="5"/>
      <c r="Q46" s="1"/>
      <c r="R46" s="1"/>
      <c r="S46" s="1"/>
      <c r="T46" s="1"/>
    </row>
    <row r="47" spans="1:20" ht="17" thickBo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14"/>
      <c r="T47" s="14"/>
    </row>
    <row r="48" spans="1:20">
      <c r="A48" s="42" t="s">
        <v>39</v>
      </c>
      <c r="B48" s="43"/>
      <c r="C48" s="18">
        <v>5</v>
      </c>
      <c r="D48" s="18"/>
      <c r="E48" s="17"/>
      <c r="F48" s="2"/>
      <c r="G48" s="42" t="s">
        <v>39</v>
      </c>
      <c r="H48" s="43"/>
      <c r="I48" s="18">
        <v>5</v>
      </c>
      <c r="J48" s="18"/>
      <c r="K48" s="17"/>
      <c r="L48" s="2"/>
      <c r="M48" s="42" t="s">
        <v>39</v>
      </c>
      <c r="N48" s="43"/>
      <c r="O48" s="18">
        <v>5</v>
      </c>
      <c r="P48" s="18"/>
      <c r="Q48" s="17"/>
      <c r="R48" s="6"/>
      <c r="S48" s="14"/>
      <c r="T48" s="14"/>
    </row>
    <row r="49" spans="1:20" ht="17" thickBot="1">
      <c r="A49" s="16" t="s">
        <v>9</v>
      </c>
      <c r="B49" s="15"/>
      <c r="C49" s="6"/>
      <c r="D49" s="6"/>
      <c r="E49" s="11"/>
      <c r="F49" s="2"/>
      <c r="G49" s="16" t="s">
        <v>8</v>
      </c>
      <c r="H49" s="15"/>
      <c r="I49" s="6"/>
      <c r="J49" s="6"/>
      <c r="K49" s="11"/>
      <c r="L49" s="2"/>
      <c r="M49" s="16" t="s">
        <v>7</v>
      </c>
      <c r="N49" s="15"/>
      <c r="O49" s="6"/>
      <c r="P49" s="6"/>
      <c r="Q49" s="11"/>
      <c r="R49" s="6"/>
      <c r="S49" s="14"/>
      <c r="T49" s="14"/>
    </row>
    <row r="50" spans="1:20">
      <c r="A50" s="7" t="s">
        <v>6</v>
      </c>
      <c r="B50" s="6" t="s">
        <v>5</v>
      </c>
      <c r="C50" s="6" t="s">
        <v>4</v>
      </c>
      <c r="D50" s="6" t="s">
        <v>3</v>
      </c>
      <c r="E50" s="11" t="s">
        <v>2</v>
      </c>
      <c r="F50" s="2"/>
      <c r="G50" s="7" t="s">
        <v>6</v>
      </c>
      <c r="H50" s="6" t="s">
        <v>5</v>
      </c>
      <c r="I50" s="6" t="s">
        <v>4</v>
      </c>
      <c r="J50" s="6" t="s">
        <v>3</v>
      </c>
      <c r="K50" s="11" t="s">
        <v>2</v>
      </c>
      <c r="L50" s="2"/>
      <c r="M50" s="7" t="s">
        <v>6</v>
      </c>
      <c r="N50" s="6" t="s">
        <v>5</v>
      </c>
      <c r="O50" s="6" t="s">
        <v>4</v>
      </c>
      <c r="P50" s="6" t="s">
        <v>3</v>
      </c>
      <c r="Q50" s="11" t="s">
        <v>2</v>
      </c>
      <c r="R50" s="6"/>
      <c r="S50" s="13" t="s">
        <v>1</v>
      </c>
      <c r="T50" s="12" t="s">
        <v>0</v>
      </c>
    </row>
    <row r="51" spans="1:20">
      <c r="A51" s="7">
        <v>0</v>
      </c>
      <c r="B51" s="6">
        <v>0</v>
      </c>
      <c r="C51" s="6">
        <v>0</v>
      </c>
      <c r="D51" s="6">
        <v>0</v>
      </c>
      <c r="E51" s="3">
        <v>14</v>
      </c>
      <c r="F51" s="2"/>
      <c r="G51" s="7">
        <v>0</v>
      </c>
      <c r="H51" s="6">
        <v>0</v>
      </c>
      <c r="I51" s="6">
        <f>H51/25144</f>
        <v>0</v>
      </c>
      <c r="J51" s="6">
        <f>I51*900</f>
        <v>0</v>
      </c>
      <c r="K51" s="3">
        <v>14</v>
      </c>
      <c r="L51" s="2"/>
      <c r="M51" s="7">
        <v>0</v>
      </c>
      <c r="N51" s="6">
        <v>0</v>
      </c>
      <c r="O51" s="6">
        <f>N51/25144</f>
        <v>0</v>
      </c>
      <c r="P51" s="6">
        <f>O51*900</f>
        <v>0</v>
      </c>
      <c r="Q51" s="3">
        <v>14</v>
      </c>
      <c r="R51" s="6"/>
      <c r="S51" s="4">
        <f>AVERAGE(E51,K51,Q51)</f>
        <v>14</v>
      </c>
      <c r="T51" s="3">
        <f>STDEVP(E51,K51,Q51)</f>
        <v>0</v>
      </c>
    </row>
    <row r="52" spans="1:20">
      <c r="A52" s="7">
        <v>5</v>
      </c>
      <c r="B52" s="6">
        <v>126.2</v>
      </c>
      <c r="C52" s="5">
        <f>B52/40421</f>
        <v>3.1221394819524505E-3</v>
      </c>
      <c r="D52" s="5">
        <f>C52*1.8*900</f>
        <v>5.0578659607629701</v>
      </c>
      <c r="E52" s="3">
        <f>D52/5*100</f>
        <v>101.15731921525941</v>
      </c>
      <c r="F52" s="2"/>
      <c r="G52" s="7">
        <v>5</v>
      </c>
      <c r="H52" s="6">
        <v>123.2</v>
      </c>
      <c r="I52" s="5">
        <f>H52/40421</f>
        <v>3.0479206353133271E-3</v>
      </c>
      <c r="J52" s="5">
        <f>I52*1.8*900</f>
        <v>4.93763142920759</v>
      </c>
      <c r="K52" s="3">
        <f>J52/5*100</f>
        <v>98.752628584151807</v>
      </c>
      <c r="L52" s="2"/>
      <c r="M52" s="7">
        <v>5</v>
      </c>
      <c r="N52" s="6">
        <v>124.1</v>
      </c>
      <c r="O52" s="5">
        <f>N52/40421</f>
        <v>3.0701862893050642E-3</v>
      </c>
      <c r="P52" s="5">
        <f>O52*1.8*900</f>
        <v>4.9737017886742043</v>
      </c>
      <c r="Q52" s="3">
        <f>P52/5*100</f>
        <v>99.474035773484076</v>
      </c>
      <c r="R52" s="1"/>
      <c r="S52" s="4">
        <f>AVERAGE(E52,K52,Q52)</f>
        <v>99.794661190965101</v>
      </c>
      <c r="T52" s="3">
        <f>STDEVP(E52,K52,Q52)</f>
        <v>1.0075497511571738</v>
      </c>
    </row>
    <row r="53" spans="1:20">
      <c r="A53" s="7">
        <v>15</v>
      </c>
      <c r="B53" s="6">
        <v>125.9</v>
      </c>
      <c r="C53" s="5">
        <f t="shared" ref="C53:C61" si="13">B53/40421</f>
        <v>3.1147175972885384E-3</v>
      </c>
      <c r="D53" s="5">
        <f t="shared" ref="D53:D61" si="14">C53*1.8*900</f>
        <v>5.045842507607432</v>
      </c>
      <c r="E53" s="3">
        <f t="shared" ref="E53:E61" si="15">D53/5*100</f>
        <v>100.91685015214864</v>
      </c>
      <c r="F53" s="2"/>
      <c r="G53" s="7">
        <v>15</v>
      </c>
      <c r="H53" s="6">
        <v>124.3</v>
      </c>
      <c r="I53" s="5">
        <f t="shared" ref="I53:I61" si="16">H53/40421</f>
        <v>3.0751342124143389E-3</v>
      </c>
      <c r="J53" s="5">
        <f t="shared" ref="J53:J61" si="17">I53*1.8*900</f>
        <v>4.9817174241112294</v>
      </c>
      <c r="K53" s="3">
        <f t="shared" ref="K53:K61" si="18">J53/5*100</f>
        <v>99.634348482224596</v>
      </c>
      <c r="L53" s="2"/>
      <c r="M53" s="7">
        <v>15</v>
      </c>
      <c r="N53" s="6">
        <v>125</v>
      </c>
      <c r="O53" s="5">
        <f t="shared" ref="O53:O61" si="19">N53/40421</f>
        <v>3.0924519432968013E-3</v>
      </c>
      <c r="P53" s="5">
        <f t="shared" ref="P53:P61" si="20">O53*1.8*900</f>
        <v>5.0097721481408186</v>
      </c>
      <c r="Q53" s="3">
        <f t="shared" ref="Q53:Q61" si="21">P53/5*100</f>
        <v>100.19544296281637</v>
      </c>
      <c r="R53" s="1"/>
      <c r="S53" s="4">
        <f t="shared" ref="S53:S61" si="22">AVERAGE(E53,K53,Q53)</f>
        <v>100.24888053239654</v>
      </c>
      <c r="T53" s="3">
        <f t="shared" ref="T53:T61" si="23">STDEVP(E53,K53,Q53)</f>
        <v>0.52494083077458498</v>
      </c>
    </row>
    <row r="54" spans="1:20">
      <c r="A54" s="7">
        <v>30</v>
      </c>
      <c r="B54" s="6">
        <v>127.1</v>
      </c>
      <c r="C54" s="5">
        <f t="shared" si="13"/>
        <v>3.1444051359441872E-3</v>
      </c>
      <c r="D54" s="5">
        <f t="shared" si="14"/>
        <v>5.0939363202295835</v>
      </c>
      <c r="E54" s="3">
        <f t="shared" si="15"/>
        <v>101.87872640459167</v>
      </c>
      <c r="F54" s="2"/>
      <c r="G54" s="7">
        <v>30</v>
      </c>
      <c r="H54" s="6">
        <v>124.2</v>
      </c>
      <c r="I54" s="5">
        <f t="shared" si="16"/>
        <v>3.0726602508597016E-3</v>
      </c>
      <c r="J54" s="5">
        <f t="shared" si="17"/>
        <v>4.9777096063927164</v>
      </c>
      <c r="K54" s="3">
        <f t="shared" si="18"/>
        <v>99.554192127854321</v>
      </c>
      <c r="L54" s="2"/>
      <c r="M54" s="7">
        <v>30</v>
      </c>
      <c r="N54" s="6">
        <v>125.4</v>
      </c>
      <c r="O54" s="5">
        <f t="shared" si="19"/>
        <v>3.1023477895153512E-3</v>
      </c>
      <c r="P54" s="5">
        <f t="shared" si="20"/>
        <v>5.0258034190148688</v>
      </c>
      <c r="Q54" s="3">
        <f t="shared" si="21"/>
        <v>100.51606838029738</v>
      </c>
      <c r="R54" s="1"/>
      <c r="S54" s="4">
        <f t="shared" si="22"/>
        <v>100.6496623042478</v>
      </c>
      <c r="T54" s="3">
        <f t="shared" si="23"/>
        <v>0.95367723516888836</v>
      </c>
    </row>
    <row r="55" spans="1:20">
      <c r="A55" s="7">
        <v>45</v>
      </c>
      <c r="B55" s="6">
        <v>125.8</v>
      </c>
      <c r="C55" s="5">
        <f t="shared" si="13"/>
        <v>3.1122436357339006E-3</v>
      </c>
      <c r="D55" s="5">
        <f t="shared" si="14"/>
        <v>5.041834689888919</v>
      </c>
      <c r="E55" s="3">
        <f t="shared" si="15"/>
        <v>100.83669379777838</v>
      </c>
      <c r="F55" s="2"/>
      <c r="G55" s="7">
        <v>45</v>
      </c>
      <c r="H55" s="6">
        <v>124.4</v>
      </c>
      <c r="I55" s="5">
        <f t="shared" si="16"/>
        <v>3.0776081739689767E-3</v>
      </c>
      <c r="J55" s="5">
        <f t="shared" si="17"/>
        <v>4.9857252418297424</v>
      </c>
      <c r="K55" s="3">
        <f t="shared" si="18"/>
        <v>99.714504836594855</v>
      </c>
      <c r="L55" s="2"/>
      <c r="M55" s="7">
        <v>45</v>
      </c>
      <c r="N55" s="6">
        <v>125.2</v>
      </c>
      <c r="O55" s="5">
        <f t="shared" si="19"/>
        <v>3.097399866406076E-3</v>
      </c>
      <c r="P55" s="5">
        <f t="shared" si="20"/>
        <v>5.0177877835778428</v>
      </c>
      <c r="Q55" s="3">
        <f t="shared" si="21"/>
        <v>100.35575567155686</v>
      </c>
      <c r="R55" s="1"/>
      <c r="S55" s="4">
        <f t="shared" si="22"/>
        <v>100.3023181019767</v>
      </c>
      <c r="T55" s="3">
        <f t="shared" si="23"/>
        <v>0.45968735500882624</v>
      </c>
    </row>
    <row r="56" spans="1:20">
      <c r="A56" s="7">
        <v>60</v>
      </c>
      <c r="B56" s="6">
        <v>125.3</v>
      </c>
      <c r="C56" s="5">
        <f t="shared" si="13"/>
        <v>3.0998738279607134E-3</v>
      </c>
      <c r="D56" s="5">
        <f t="shared" si="14"/>
        <v>5.0217956012963558</v>
      </c>
      <c r="E56" s="3">
        <f t="shared" si="15"/>
        <v>100.43591202592712</v>
      </c>
      <c r="F56" s="2"/>
      <c r="G56" s="7">
        <v>60</v>
      </c>
      <c r="H56" s="6">
        <v>125.8</v>
      </c>
      <c r="I56" s="5">
        <f t="shared" si="16"/>
        <v>3.1122436357339006E-3</v>
      </c>
      <c r="J56" s="5">
        <f t="shared" si="17"/>
        <v>5.041834689888919</v>
      </c>
      <c r="K56" s="3">
        <f t="shared" si="18"/>
        <v>100.83669379777838</v>
      </c>
      <c r="L56" s="2"/>
      <c r="M56" s="7">
        <v>60</v>
      </c>
      <c r="N56" s="6">
        <v>124.9</v>
      </c>
      <c r="O56" s="5">
        <f t="shared" si="19"/>
        <v>3.089977981742164E-3</v>
      </c>
      <c r="P56" s="5">
        <f t="shared" si="20"/>
        <v>5.0057643304223056</v>
      </c>
      <c r="Q56" s="3">
        <f t="shared" si="21"/>
        <v>100.11528660844611</v>
      </c>
      <c r="R56" s="1"/>
      <c r="S56" s="4">
        <f t="shared" si="22"/>
        <v>100.4626308107172</v>
      </c>
      <c r="T56" s="3">
        <f t="shared" si="23"/>
        <v>0.29511862394700972</v>
      </c>
    </row>
    <row r="57" spans="1:20">
      <c r="A57" s="7">
        <v>75</v>
      </c>
      <c r="B57" s="6">
        <v>126.1</v>
      </c>
      <c r="C57" s="5">
        <f t="shared" si="13"/>
        <v>3.1196655203978127E-3</v>
      </c>
      <c r="D57" s="5">
        <f t="shared" si="14"/>
        <v>5.0538581430444562</v>
      </c>
      <c r="E57" s="3">
        <f t="shared" si="15"/>
        <v>101.07716286088913</v>
      </c>
      <c r="F57" s="2"/>
      <c r="G57" s="7">
        <v>75</v>
      </c>
      <c r="H57" s="6">
        <v>123.3</v>
      </c>
      <c r="I57" s="5">
        <f t="shared" si="16"/>
        <v>3.0503945968679645E-3</v>
      </c>
      <c r="J57" s="5">
        <f t="shared" si="17"/>
        <v>4.9416392469261021</v>
      </c>
      <c r="K57" s="3">
        <f t="shared" si="18"/>
        <v>98.832784938522039</v>
      </c>
      <c r="L57" s="2"/>
      <c r="M57" s="7">
        <v>75</v>
      </c>
      <c r="N57" s="6">
        <v>124.4</v>
      </c>
      <c r="O57" s="5">
        <f t="shared" si="19"/>
        <v>3.0776081739689767E-3</v>
      </c>
      <c r="P57" s="5">
        <f t="shared" si="20"/>
        <v>4.9857252418297424</v>
      </c>
      <c r="Q57" s="3">
        <f t="shared" si="21"/>
        <v>99.714504836594855</v>
      </c>
      <c r="R57" s="1"/>
      <c r="S57" s="4">
        <f t="shared" si="22"/>
        <v>99.874817545335347</v>
      </c>
      <c r="T57" s="3">
        <f t="shared" si="23"/>
        <v>0.92324904117289008</v>
      </c>
    </row>
    <row r="58" spans="1:20">
      <c r="A58" s="7">
        <v>90</v>
      </c>
      <c r="B58" s="6">
        <v>123.4</v>
      </c>
      <c r="C58" s="5">
        <f t="shared" si="13"/>
        <v>3.0528685584226022E-3</v>
      </c>
      <c r="D58" s="5">
        <f t="shared" si="14"/>
        <v>4.945647064644616</v>
      </c>
      <c r="E58" s="3">
        <f t="shared" si="15"/>
        <v>98.912941292892327</v>
      </c>
      <c r="F58" s="2"/>
      <c r="G58" s="7">
        <v>90</v>
      </c>
      <c r="H58" s="6">
        <v>123</v>
      </c>
      <c r="I58" s="5">
        <f t="shared" si="16"/>
        <v>3.0429727122040524E-3</v>
      </c>
      <c r="J58" s="5">
        <f t="shared" si="17"/>
        <v>4.9296157937705649</v>
      </c>
      <c r="K58" s="3">
        <f t="shared" si="18"/>
        <v>98.592315875411302</v>
      </c>
      <c r="L58" s="2"/>
      <c r="M58" s="7">
        <v>90</v>
      </c>
      <c r="N58" s="6">
        <v>123.5</v>
      </c>
      <c r="O58" s="5">
        <f t="shared" si="19"/>
        <v>3.0553425199772396E-3</v>
      </c>
      <c r="P58" s="5">
        <f t="shared" si="20"/>
        <v>4.9496548823631281</v>
      </c>
      <c r="Q58" s="3">
        <f t="shared" si="21"/>
        <v>98.993097647262559</v>
      </c>
      <c r="R58" s="1"/>
      <c r="S58" s="4">
        <f t="shared" si="22"/>
        <v>98.832784938522067</v>
      </c>
      <c r="T58" s="3">
        <f t="shared" si="23"/>
        <v>0.17315751600110005</v>
      </c>
    </row>
    <row r="59" spans="1:20">
      <c r="A59" s="7">
        <v>120</v>
      </c>
      <c r="B59" s="10">
        <v>123.8</v>
      </c>
      <c r="C59" s="5">
        <f t="shared" si="13"/>
        <v>3.0627644046411517E-3</v>
      </c>
      <c r="D59" s="5">
        <f t="shared" si="14"/>
        <v>4.9616783355186662</v>
      </c>
      <c r="E59" s="3">
        <f t="shared" si="15"/>
        <v>99.233566710373324</v>
      </c>
      <c r="F59" s="2"/>
      <c r="G59" s="9">
        <v>120</v>
      </c>
      <c r="H59" s="8">
        <v>120.3</v>
      </c>
      <c r="I59" s="5">
        <f t="shared" si="16"/>
        <v>2.9761757502288415E-3</v>
      </c>
      <c r="J59" s="5">
        <f t="shared" si="17"/>
        <v>4.8214047153707238</v>
      </c>
      <c r="K59" s="3">
        <f t="shared" si="18"/>
        <v>96.428094307414483</v>
      </c>
      <c r="L59" s="2"/>
      <c r="M59" s="7">
        <v>120</v>
      </c>
      <c r="N59" s="6">
        <v>122.7</v>
      </c>
      <c r="O59" s="5">
        <f t="shared" si="19"/>
        <v>3.0355508275401403E-3</v>
      </c>
      <c r="P59" s="5">
        <f t="shared" si="20"/>
        <v>4.9175923406150277</v>
      </c>
      <c r="Q59" s="3">
        <f t="shared" si="21"/>
        <v>98.351846812300565</v>
      </c>
      <c r="R59" s="1"/>
      <c r="S59" s="4">
        <f t="shared" si="22"/>
        <v>98.004502610029462</v>
      </c>
      <c r="T59" s="3">
        <f t="shared" si="23"/>
        <v>1.1713681024282185</v>
      </c>
    </row>
    <row r="60" spans="1:20">
      <c r="A60" s="7">
        <v>180</v>
      </c>
      <c r="B60" s="10">
        <v>123.4</v>
      </c>
      <c r="C60" s="5">
        <f t="shared" si="13"/>
        <v>3.0528685584226022E-3</v>
      </c>
      <c r="D60" s="5">
        <f t="shared" si="14"/>
        <v>4.945647064644616</v>
      </c>
      <c r="E60" s="3">
        <f t="shared" si="15"/>
        <v>98.912941292892327</v>
      </c>
      <c r="F60" s="2"/>
      <c r="G60" s="9">
        <v>180</v>
      </c>
      <c r="H60" s="8">
        <v>121.9</v>
      </c>
      <c r="I60" s="5">
        <f t="shared" si="16"/>
        <v>3.0157591351030405E-3</v>
      </c>
      <c r="J60" s="5">
        <f t="shared" si="17"/>
        <v>4.8855297988669255</v>
      </c>
      <c r="K60" s="3">
        <f t="shared" si="18"/>
        <v>97.710595977338514</v>
      </c>
      <c r="L60" s="2"/>
      <c r="M60" s="7">
        <v>180</v>
      </c>
      <c r="N60" s="6">
        <v>122.4</v>
      </c>
      <c r="O60" s="5">
        <f t="shared" si="19"/>
        <v>3.0281289428762278E-3</v>
      </c>
      <c r="P60" s="5">
        <f t="shared" si="20"/>
        <v>4.9055688874594896</v>
      </c>
      <c r="Q60" s="3">
        <f t="shared" si="21"/>
        <v>98.111377749189785</v>
      </c>
      <c r="R60" s="1"/>
      <c r="S60" s="4">
        <f t="shared" si="22"/>
        <v>98.244971673140199</v>
      </c>
      <c r="T60" s="3">
        <f t="shared" si="23"/>
        <v>0.49986269237721909</v>
      </c>
    </row>
    <row r="61" spans="1:20">
      <c r="A61" s="9">
        <v>360</v>
      </c>
      <c r="B61" s="22">
        <v>123.6</v>
      </c>
      <c r="C61" s="5">
        <f t="shared" si="13"/>
        <v>3.057816481531877E-3</v>
      </c>
      <c r="D61" s="5">
        <f t="shared" si="14"/>
        <v>4.9536627000816411</v>
      </c>
      <c r="E61" s="3">
        <f t="shared" si="15"/>
        <v>99.073254001632833</v>
      </c>
      <c r="G61" s="9">
        <v>360</v>
      </c>
      <c r="H61" s="22">
        <v>121.7</v>
      </c>
      <c r="I61" s="5">
        <f t="shared" si="16"/>
        <v>3.0108112119937658E-3</v>
      </c>
      <c r="J61" s="5">
        <f t="shared" si="17"/>
        <v>4.8775141634299013</v>
      </c>
      <c r="K61" s="3">
        <f t="shared" si="18"/>
        <v>97.550283268598022</v>
      </c>
      <c r="M61" s="9">
        <v>360</v>
      </c>
      <c r="N61" s="22">
        <v>122.6</v>
      </c>
      <c r="O61" s="5">
        <f t="shared" si="19"/>
        <v>3.0330768659855025E-3</v>
      </c>
      <c r="P61" s="5">
        <f t="shared" si="20"/>
        <v>4.9135845228965138</v>
      </c>
      <c r="Q61" s="3">
        <f t="shared" si="21"/>
        <v>98.271690457930276</v>
      </c>
      <c r="S61" s="25">
        <f t="shared" si="22"/>
        <v>98.298409242720368</v>
      </c>
      <c r="T61" s="24">
        <f t="shared" si="23"/>
        <v>0.62203718190884261</v>
      </c>
    </row>
    <row r="64" spans="1:20">
      <c r="B64" t="s">
        <v>14</v>
      </c>
      <c r="C64" t="s">
        <v>10</v>
      </c>
    </row>
    <row r="65" spans="1:3">
      <c r="A65" t="s">
        <v>19</v>
      </c>
      <c r="B65">
        <v>42.57</v>
      </c>
      <c r="C65">
        <v>81</v>
      </c>
    </row>
    <row r="66" spans="1:3">
      <c r="B66">
        <v>62.43</v>
      </c>
      <c r="C66">
        <v>101.4</v>
      </c>
    </row>
    <row r="67" spans="1:3">
      <c r="B67">
        <v>66.98</v>
      </c>
      <c r="C67">
        <v>85.57</v>
      </c>
    </row>
    <row r="69" spans="1:3">
      <c r="A69" t="s">
        <v>20</v>
      </c>
      <c r="B69">
        <f>_xlfn.T.TEST(B65:B67,C65:C67,2,2)</f>
        <v>3.0108439981409336E-2</v>
      </c>
    </row>
  </sheetData>
  <mergeCells count="6">
    <mergeCell ref="A32:B32"/>
    <mergeCell ref="G32:H32"/>
    <mergeCell ref="M32:N32"/>
    <mergeCell ref="A48:B48"/>
    <mergeCell ref="G48:H48"/>
    <mergeCell ref="M48:N48"/>
  </mergeCells>
  <pageMargins left="0.7" right="0.7" top="0.75" bottom="0.75" header="0.3" footer="0.3"/>
  <pageSetup paperSize="9" orientation="portrait" horizontalDpi="0" verticalDpi="0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CB493C-DF10-B447-888E-C5C197DC2E5D}">
  <dimension ref="A1:V93"/>
  <sheetViews>
    <sheetView topLeftCell="F27" workbookViewId="0">
      <selection activeCell="V38" sqref="V38:V47"/>
    </sheetView>
  </sheetViews>
  <sheetFormatPr baseColWidth="10" defaultRowHeight="16"/>
  <cols>
    <col min="2" max="2" width="21" customWidth="1"/>
  </cols>
  <sheetData>
    <row r="1" spans="1:3">
      <c r="A1" t="s">
        <v>18</v>
      </c>
      <c r="C1">
        <v>38.520000000000003</v>
      </c>
    </row>
    <row r="2" spans="1:3">
      <c r="A2" t="s">
        <v>17</v>
      </c>
      <c r="B2" t="s">
        <v>16</v>
      </c>
      <c r="C2">
        <v>38.28</v>
      </c>
    </row>
    <row r="3" spans="1:3">
      <c r="A3" s="19">
        <v>5.0000000000000001E-4</v>
      </c>
      <c r="B3" s="20">
        <f>AVERAGE(C1:C3)</f>
        <v>38.366666666666667</v>
      </c>
      <c r="C3">
        <v>38.299999999999997</v>
      </c>
    </row>
    <row r="4" spans="1:3">
      <c r="A4" s="19">
        <v>1E-3</v>
      </c>
      <c r="B4">
        <v>57.5</v>
      </c>
    </row>
    <row r="5" spans="1:3">
      <c r="A5" s="19">
        <v>0.01</v>
      </c>
      <c r="B5" s="21">
        <v>449.5</v>
      </c>
    </row>
    <row r="6" spans="1:3">
      <c r="A6" s="19">
        <v>0.1</v>
      </c>
      <c r="B6" s="21">
        <v>4465.8999999999996</v>
      </c>
    </row>
    <row r="7" spans="1:3">
      <c r="A7" s="19">
        <v>0.5</v>
      </c>
      <c r="B7" s="21">
        <v>17785.2</v>
      </c>
    </row>
    <row r="9" spans="1:3">
      <c r="A9" t="s">
        <v>0</v>
      </c>
      <c r="B9" t="s">
        <v>15</v>
      </c>
    </row>
    <row r="10" spans="1:3">
      <c r="A10">
        <f>STDEV(C1:C3)</f>
        <v>0.13316656236958999</v>
      </c>
      <c r="B10">
        <f>3*A10/26064</f>
        <v>1.5327642998341387E-5</v>
      </c>
    </row>
    <row r="16" spans="1:3">
      <c r="A16" t="s">
        <v>26</v>
      </c>
      <c r="B16" t="s">
        <v>27</v>
      </c>
    </row>
    <row r="17" spans="1:3">
      <c r="A17" t="s">
        <v>22</v>
      </c>
      <c r="B17" t="s">
        <v>40</v>
      </c>
    </row>
    <row r="18" spans="1:3">
      <c r="A18" t="s">
        <v>23</v>
      </c>
      <c r="B18" t="s">
        <v>41</v>
      </c>
    </row>
    <row r="19" spans="1:3">
      <c r="A19" t="s">
        <v>24</v>
      </c>
      <c r="B19" t="s">
        <v>28</v>
      </c>
    </row>
    <row r="20" spans="1:3">
      <c r="A20" t="s">
        <v>25</v>
      </c>
      <c r="B20" t="s">
        <v>29</v>
      </c>
    </row>
    <row r="21" spans="1:3">
      <c r="A21" t="s">
        <v>30</v>
      </c>
      <c r="B21" t="s">
        <v>33</v>
      </c>
    </row>
    <row r="24" spans="1:3">
      <c r="A24" t="s">
        <v>42</v>
      </c>
      <c r="B24" t="s">
        <v>34</v>
      </c>
    </row>
    <row r="25" spans="1:3">
      <c r="A25" t="s">
        <v>16</v>
      </c>
      <c r="B25" t="s">
        <v>21</v>
      </c>
    </row>
    <row r="26" spans="1:3">
      <c r="A26">
        <v>29124.9</v>
      </c>
      <c r="B26">
        <f>A26/42833</f>
        <v>0.67996404641281261</v>
      </c>
    </row>
    <row r="27" spans="1:3">
      <c r="A27">
        <v>28720.400000000001</v>
      </c>
      <c r="B27">
        <f t="shared" ref="B27:B28" si="0">A27/42833</f>
        <v>0.6705203931548106</v>
      </c>
    </row>
    <row r="28" spans="1:3">
      <c r="A28">
        <v>28830.2</v>
      </c>
      <c r="B28">
        <f t="shared" si="0"/>
        <v>0.67308383722830534</v>
      </c>
    </row>
    <row r="29" spans="1:3">
      <c r="B29">
        <f>AVERAGE(B26:B28)</f>
        <v>0.67452275893197611</v>
      </c>
    </row>
    <row r="31" spans="1:3">
      <c r="B31" t="s">
        <v>5</v>
      </c>
      <c r="C31" t="s">
        <v>32</v>
      </c>
    </row>
    <row r="32" spans="1:3">
      <c r="A32" t="s">
        <v>31</v>
      </c>
      <c r="B32">
        <v>15062</v>
      </c>
      <c r="C32">
        <f>B32/128511*2</f>
        <v>0.23440794951404939</v>
      </c>
    </row>
    <row r="33" spans="1:22" ht="17" thickBot="1"/>
    <row r="34" spans="1:22">
      <c r="A34" s="42" t="s">
        <v>43</v>
      </c>
      <c r="B34" s="43"/>
      <c r="C34" s="18">
        <v>2.5</v>
      </c>
      <c r="D34" s="18"/>
      <c r="E34" s="17"/>
      <c r="F34" s="2"/>
      <c r="G34" s="42" t="s">
        <v>43</v>
      </c>
      <c r="H34" s="43"/>
      <c r="I34" s="18">
        <v>2.5</v>
      </c>
      <c r="J34" s="18"/>
      <c r="K34" s="17"/>
      <c r="L34" s="2"/>
      <c r="M34" s="42" t="s">
        <v>43</v>
      </c>
      <c r="N34" s="43"/>
      <c r="O34" s="18">
        <v>2.5</v>
      </c>
      <c r="P34" s="18"/>
      <c r="Q34" s="17"/>
      <c r="R34" s="6"/>
      <c r="S34" s="2"/>
      <c r="T34" s="2"/>
    </row>
    <row r="35" spans="1:22" ht="17" thickBot="1">
      <c r="A35" s="16" t="s">
        <v>13</v>
      </c>
      <c r="B35" s="15"/>
      <c r="C35" s="6"/>
      <c r="D35" s="6"/>
      <c r="E35" s="11"/>
      <c r="F35" s="2"/>
      <c r="G35" s="16" t="s">
        <v>12</v>
      </c>
      <c r="H35" s="15"/>
      <c r="I35" s="6"/>
      <c r="J35" s="6"/>
      <c r="K35" s="11"/>
      <c r="L35" s="2"/>
      <c r="M35" s="16" t="s">
        <v>11</v>
      </c>
      <c r="N35" s="15"/>
      <c r="O35" s="6"/>
      <c r="P35" s="6"/>
      <c r="Q35" s="11"/>
      <c r="R35" s="6"/>
      <c r="S35" s="2"/>
      <c r="T35" s="2"/>
    </row>
    <row r="36" spans="1:22">
      <c r="A36" s="7" t="s">
        <v>6</v>
      </c>
      <c r="B36" s="6" t="s">
        <v>5</v>
      </c>
      <c r="C36" s="6" t="s">
        <v>4</v>
      </c>
      <c r="D36" s="6" t="s">
        <v>3</v>
      </c>
      <c r="E36" s="11" t="s">
        <v>2</v>
      </c>
      <c r="F36" s="2"/>
      <c r="G36" s="7" t="s">
        <v>6</v>
      </c>
      <c r="H36" s="6" t="s">
        <v>5</v>
      </c>
      <c r="I36" s="6" t="s">
        <v>4</v>
      </c>
      <c r="J36" s="6" t="s">
        <v>3</v>
      </c>
      <c r="K36" s="11" t="s">
        <v>2</v>
      </c>
      <c r="L36" s="2"/>
      <c r="M36" s="7" t="s">
        <v>6</v>
      </c>
      <c r="N36" s="6" t="s">
        <v>5</v>
      </c>
      <c r="O36" s="6" t="s">
        <v>4</v>
      </c>
      <c r="P36" s="6" t="s">
        <v>3</v>
      </c>
      <c r="Q36" s="11" t="s">
        <v>2</v>
      </c>
      <c r="R36" s="6"/>
      <c r="S36" s="13" t="s">
        <v>1</v>
      </c>
      <c r="T36" s="12" t="s">
        <v>0</v>
      </c>
      <c r="V36" s="22" t="s">
        <v>76</v>
      </c>
    </row>
    <row r="37" spans="1:22">
      <c r="A37" s="7">
        <v>0</v>
      </c>
      <c r="B37" s="10">
        <v>0</v>
      </c>
      <c r="C37" s="5">
        <v>0</v>
      </c>
      <c r="D37" s="5">
        <v>0</v>
      </c>
      <c r="E37" s="3">
        <v>0</v>
      </c>
      <c r="F37" s="2"/>
      <c r="G37" s="7">
        <v>0</v>
      </c>
      <c r="H37" s="10">
        <v>0</v>
      </c>
      <c r="I37" s="5">
        <v>0</v>
      </c>
      <c r="J37" s="5">
        <v>0</v>
      </c>
      <c r="K37" s="3">
        <v>0</v>
      </c>
      <c r="L37" s="2"/>
      <c r="M37" s="7">
        <v>0</v>
      </c>
      <c r="N37" s="10">
        <v>0</v>
      </c>
      <c r="O37" s="5">
        <f>N37/25144</f>
        <v>0</v>
      </c>
      <c r="P37" s="5">
        <f>O37*900</f>
        <v>0</v>
      </c>
      <c r="Q37" s="3">
        <v>0</v>
      </c>
      <c r="R37" s="1"/>
      <c r="S37" s="4">
        <f t="shared" ref="S37:S47" si="1">AVERAGE(E37,K37,Q37)</f>
        <v>0</v>
      </c>
      <c r="T37" s="3">
        <f t="shared" ref="T37:T47" si="2">STDEVP(E37,K37,Q37)</f>
        <v>0</v>
      </c>
    </row>
    <row r="38" spans="1:22">
      <c r="A38" s="7">
        <v>5</v>
      </c>
      <c r="B38" s="10">
        <v>24.68</v>
      </c>
      <c r="C38" s="5">
        <f>B38/35924</f>
        <v>6.8700590134728866E-4</v>
      </c>
      <c r="D38" s="5">
        <f>C38*450</f>
        <v>0.30915265560627991</v>
      </c>
      <c r="E38" s="3">
        <f>D38/2.5*100</f>
        <v>12.366106224251197</v>
      </c>
      <c r="F38" s="2"/>
      <c r="G38" s="7">
        <v>5</v>
      </c>
      <c r="H38" s="10">
        <v>15.9</v>
      </c>
      <c r="I38" s="5">
        <f>H38/35924</f>
        <v>4.4260104665404742E-4</v>
      </c>
      <c r="J38" s="5">
        <f>I38*455</f>
        <v>0.20138347622759156</v>
      </c>
      <c r="K38" s="3">
        <f>J38/2.5*100</f>
        <v>8.0553390491036634</v>
      </c>
      <c r="L38" s="2"/>
      <c r="M38" s="7">
        <v>5</v>
      </c>
      <c r="N38" s="10">
        <v>12.1</v>
      </c>
      <c r="O38" s="5">
        <f>N38/35924</f>
        <v>3.3682218015811154E-4</v>
      </c>
      <c r="P38" s="5">
        <f>O38*455</f>
        <v>0.15325409197194076</v>
      </c>
      <c r="Q38" s="3">
        <f>P38/2.5*100</f>
        <v>6.1301636788776301</v>
      </c>
      <c r="R38" s="1"/>
      <c r="S38" s="4">
        <f t="shared" si="1"/>
        <v>8.85053631741083</v>
      </c>
      <c r="T38" s="3">
        <f t="shared" si="2"/>
        <v>2.6071694586201359</v>
      </c>
      <c r="V38">
        <f>T38/S38</f>
        <v>0.29457756740586399</v>
      </c>
    </row>
    <row r="39" spans="1:22">
      <c r="A39" s="7">
        <v>15</v>
      </c>
      <c r="B39" s="10">
        <v>54.4</v>
      </c>
      <c r="C39" s="5">
        <f t="shared" ref="C39:C47" si="3">B39/35924</f>
        <v>1.514307983520766E-3</v>
      </c>
      <c r="D39" s="5">
        <f t="shared" ref="D39:D47" si="4">C39*455</f>
        <v>0.68901013250194854</v>
      </c>
      <c r="E39" s="3">
        <f t="shared" ref="E39:E47" si="5">D39/2.5*100</f>
        <v>27.560405300077939</v>
      </c>
      <c r="F39" s="2"/>
      <c r="G39" s="7">
        <v>15</v>
      </c>
      <c r="H39" s="6">
        <v>47.2</v>
      </c>
      <c r="I39" s="5">
        <f t="shared" ref="I39:I47" si="6">H39/35924</f>
        <v>1.3138848680547823E-3</v>
      </c>
      <c r="J39" s="5">
        <f t="shared" ref="J39:J47" si="7">I39*455</f>
        <v>0.59781761496492591</v>
      </c>
      <c r="K39" s="3">
        <f t="shared" ref="K39:K47" si="8">J39/2.5*100</f>
        <v>23.912704598597038</v>
      </c>
      <c r="L39" s="2"/>
      <c r="M39" s="7">
        <v>15</v>
      </c>
      <c r="N39" s="6">
        <v>32.9</v>
      </c>
      <c r="O39" s="5">
        <f t="shared" ref="O39:O47" si="9">N39/35924</f>
        <v>9.158222915042868E-4</v>
      </c>
      <c r="P39" s="5">
        <f t="shared" ref="P39:P47" si="10">O39*455</f>
        <v>0.41669914263445051</v>
      </c>
      <c r="Q39" s="3">
        <f t="shared" ref="Q39:Q47" si="11">P39/2.5*100</f>
        <v>16.66796570537802</v>
      </c>
      <c r="R39" s="1"/>
      <c r="S39" s="4">
        <f t="shared" si="1"/>
        <v>22.713691868017666</v>
      </c>
      <c r="T39" s="3">
        <f t="shared" si="2"/>
        <v>4.5269219658332256</v>
      </c>
      <c r="V39">
        <f t="shared" ref="V39:V47" si="12">T39/S39</f>
        <v>0.19930366195587174</v>
      </c>
    </row>
    <row r="40" spans="1:22">
      <c r="A40" s="7">
        <v>30</v>
      </c>
      <c r="B40" s="6">
        <v>86.2</v>
      </c>
      <c r="C40" s="5">
        <f t="shared" si="3"/>
        <v>2.3995100768288611E-3</v>
      </c>
      <c r="D40" s="5">
        <f t="shared" si="4"/>
        <v>1.0917770849571318</v>
      </c>
      <c r="E40" s="3">
        <f t="shared" si="5"/>
        <v>43.671083398285269</v>
      </c>
      <c r="F40" s="2"/>
      <c r="G40" s="7">
        <v>30</v>
      </c>
      <c r="H40" s="6">
        <v>88.4</v>
      </c>
      <c r="I40" s="5">
        <f t="shared" si="6"/>
        <v>2.460750473221245E-3</v>
      </c>
      <c r="J40" s="5">
        <f t="shared" si="7"/>
        <v>1.1196414653156666</v>
      </c>
      <c r="K40" s="3">
        <f t="shared" si="8"/>
        <v>44.785658612626662</v>
      </c>
      <c r="L40" s="2"/>
      <c r="M40" s="7">
        <v>30</v>
      </c>
      <c r="N40" s="6">
        <v>67.099999999999994</v>
      </c>
      <c r="O40" s="5">
        <f t="shared" si="9"/>
        <v>1.8678320899677095E-3</v>
      </c>
      <c r="P40" s="5">
        <f t="shared" si="10"/>
        <v>0.84986360093530788</v>
      </c>
      <c r="Q40" s="3">
        <f t="shared" si="11"/>
        <v>33.994544037412318</v>
      </c>
      <c r="R40" s="1"/>
      <c r="S40" s="4">
        <f t="shared" si="1"/>
        <v>40.817095349441416</v>
      </c>
      <c r="T40" s="3">
        <f t="shared" si="2"/>
        <v>4.8456835968422158</v>
      </c>
      <c r="V40">
        <f t="shared" si="12"/>
        <v>0.11871701196171788</v>
      </c>
    </row>
    <row r="41" spans="1:22">
      <c r="A41" s="7">
        <v>45</v>
      </c>
      <c r="B41" s="6">
        <v>114.4</v>
      </c>
      <c r="C41" s="5">
        <f t="shared" si="3"/>
        <v>3.1845006124039642E-3</v>
      </c>
      <c r="D41" s="5">
        <f t="shared" si="4"/>
        <v>1.4489477786438036</v>
      </c>
      <c r="E41" s="3">
        <f t="shared" si="5"/>
        <v>57.957911145752149</v>
      </c>
      <c r="F41" s="2"/>
      <c r="G41" s="7">
        <v>45</v>
      </c>
      <c r="H41" s="6">
        <v>118.6</v>
      </c>
      <c r="I41" s="5">
        <f t="shared" si="6"/>
        <v>3.3014140964257874E-3</v>
      </c>
      <c r="J41" s="5">
        <f t="shared" si="7"/>
        <v>1.5021434138737333</v>
      </c>
      <c r="K41" s="3">
        <f t="shared" si="8"/>
        <v>60.085736554949335</v>
      </c>
      <c r="L41" s="2"/>
      <c r="M41" s="7">
        <v>45</v>
      </c>
      <c r="N41" s="6">
        <v>95.5</v>
      </c>
      <c r="O41" s="5">
        <f t="shared" si="9"/>
        <v>2.6583899343057566E-3</v>
      </c>
      <c r="P41" s="5">
        <f t="shared" si="10"/>
        <v>1.2095674201091193</v>
      </c>
      <c r="Q41" s="3">
        <f t="shared" si="11"/>
        <v>48.38269680436477</v>
      </c>
      <c r="R41" s="1"/>
      <c r="S41" s="4">
        <f t="shared" si="1"/>
        <v>55.47544816835542</v>
      </c>
      <c r="T41" s="3">
        <f t="shared" si="2"/>
        <v>5.0900066585778116</v>
      </c>
      <c r="V41">
        <f t="shared" si="12"/>
        <v>9.1752420694841338E-2</v>
      </c>
    </row>
    <row r="42" spans="1:22">
      <c r="A42" s="7">
        <v>60</v>
      </c>
      <c r="B42" s="6">
        <v>136.5</v>
      </c>
      <c r="C42" s="5">
        <f t="shared" si="3"/>
        <v>3.7996882307092753E-3</v>
      </c>
      <c r="D42" s="5">
        <f t="shared" si="4"/>
        <v>1.7288581449727203</v>
      </c>
      <c r="E42" s="3">
        <f t="shared" si="5"/>
        <v>69.154325798908815</v>
      </c>
      <c r="F42" s="2"/>
      <c r="G42" s="7">
        <v>60</v>
      </c>
      <c r="H42" s="6">
        <v>140.9</v>
      </c>
      <c r="I42" s="5">
        <f t="shared" si="6"/>
        <v>3.9221690234940432E-3</v>
      </c>
      <c r="J42" s="5">
        <f t="shared" si="7"/>
        <v>1.7845869056897896</v>
      </c>
      <c r="K42" s="3">
        <f t="shared" si="8"/>
        <v>71.383476227591586</v>
      </c>
      <c r="L42" s="2"/>
      <c r="M42" s="7">
        <v>60</v>
      </c>
      <c r="N42" s="6">
        <v>117.1</v>
      </c>
      <c r="O42" s="5">
        <f t="shared" si="9"/>
        <v>3.2596592807037075E-3</v>
      </c>
      <c r="P42" s="5">
        <f t="shared" si="10"/>
        <v>1.4831449727201869</v>
      </c>
      <c r="Q42" s="3">
        <f t="shared" si="11"/>
        <v>59.325798908807471</v>
      </c>
      <c r="R42" s="1"/>
      <c r="S42" s="4">
        <f t="shared" si="1"/>
        <v>66.6212003117693</v>
      </c>
      <c r="T42" s="3">
        <f t="shared" si="2"/>
        <v>5.2382846512433252</v>
      </c>
      <c r="V42">
        <f t="shared" si="12"/>
        <v>7.8627893624395262E-2</v>
      </c>
    </row>
    <row r="43" spans="1:22">
      <c r="A43" s="7">
        <v>75</v>
      </c>
      <c r="B43" s="6">
        <v>154.5</v>
      </c>
      <c r="C43" s="5">
        <f t="shared" si="3"/>
        <v>4.3007460193742342E-3</v>
      </c>
      <c r="D43" s="5">
        <f t="shared" si="4"/>
        <v>1.9568394388152766</v>
      </c>
      <c r="E43" s="3">
        <f t="shared" si="5"/>
        <v>78.273577552611059</v>
      </c>
      <c r="F43" s="2"/>
      <c r="G43" s="7">
        <v>75</v>
      </c>
      <c r="H43" s="6">
        <v>159.69999999999999</v>
      </c>
      <c r="I43" s="5">
        <f t="shared" si="6"/>
        <v>4.445496047210778E-3</v>
      </c>
      <c r="J43" s="5">
        <f t="shared" si="7"/>
        <v>2.022700701480904</v>
      </c>
      <c r="K43" s="3">
        <f t="shared" si="8"/>
        <v>80.908028059236159</v>
      </c>
      <c r="L43" s="2"/>
      <c r="M43" s="7">
        <v>75</v>
      </c>
      <c r="N43" s="10">
        <v>136</v>
      </c>
      <c r="O43" s="5">
        <f t="shared" si="9"/>
        <v>3.7857699588019151E-3</v>
      </c>
      <c r="P43" s="5">
        <f t="shared" si="10"/>
        <v>1.7225253312548714</v>
      </c>
      <c r="Q43" s="3">
        <f t="shared" si="11"/>
        <v>68.90101325019485</v>
      </c>
      <c r="R43" s="1"/>
      <c r="S43" s="4">
        <f t="shared" si="1"/>
        <v>76.027539620680685</v>
      </c>
      <c r="T43" s="3">
        <f t="shared" si="2"/>
        <v>5.1527090576955636</v>
      </c>
      <c r="V43">
        <f t="shared" si="12"/>
        <v>6.7774244483033957E-2</v>
      </c>
    </row>
    <row r="44" spans="1:22">
      <c r="A44" s="7">
        <v>90</v>
      </c>
      <c r="B44" s="6">
        <v>166.3</v>
      </c>
      <c r="C44" s="5">
        <f t="shared" si="3"/>
        <v>4.6292172363879306E-3</v>
      </c>
      <c r="D44" s="5">
        <f t="shared" si="4"/>
        <v>2.1062938425565085</v>
      </c>
      <c r="E44" s="3">
        <f t="shared" si="5"/>
        <v>84.251753702260345</v>
      </c>
      <c r="F44" s="2"/>
      <c r="G44" s="9">
        <v>90</v>
      </c>
      <c r="H44" s="6">
        <v>171.2</v>
      </c>
      <c r="I44" s="5">
        <f t="shared" si="6"/>
        <v>4.7656163010800579E-3</v>
      </c>
      <c r="J44" s="5">
        <f t="shared" si="7"/>
        <v>2.1683554169914263</v>
      </c>
      <c r="K44" s="3">
        <f t="shared" si="8"/>
        <v>86.734216679657052</v>
      </c>
      <c r="L44" s="2"/>
      <c r="M44" s="7">
        <v>90</v>
      </c>
      <c r="N44" s="6">
        <v>148</v>
      </c>
      <c r="O44" s="5">
        <f t="shared" si="9"/>
        <v>4.1198084845785543E-3</v>
      </c>
      <c r="P44" s="5">
        <f t="shared" si="10"/>
        <v>1.8745128604832422</v>
      </c>
      <c r="Q44" s="3">
        <f t="shared" si="11"/>
        <v>74.980514419329694</v>
      </c>
      <c r="R44" s="1"/>
      <c r="S44" s="4">
        <f t="shared" si="1"/>
        <v>81.988828267082368</v>
      </c>
      <c r="T44" s="3">
        <f t="shared" si="2"/>
        <v>5.0581948591691424</v>
      </c>
      <c r="V44">
        <f t="shared" si="12"/>
        <v>6.1693708351238302E-2</v>
      </c>
    </row>
    <row r="45" spans="1:22">
      <c r="A45" s="7">
        <v>120</v>
      </c>
      <c r="B45" s="10">
        <v>185</v>
      </c>
      <c r="C45" s="5">
        <f t="shared" si="3"/>
        <v>5.1497606057231936E-3</v>
      </c>
      <c r="D45" s="5">
        <f t="shared" si="4"/>
        <v>2.3431410756040529</v>
      </c>
      <c r="E45" s="3">
        <f t="shared" si="5"/>
        <v>93.725643024162125</v>
      </c>
      <c r="F45" s="2"/>
      <c r="G45" s="9">
        <v>120</v>
      </c>
      <c r="H45" s="8">
        <v>189.3</v>
      </c>
      <c r="I45" s="5">
        <f t="shared" si="6"/>
        <v>5.2694577441264896E-3</v>
      </c>
      <c r="J45" s="5">
        <f t="shared" si="7"/>
        <v>2.3976032735775528</v>
      </c>
      <c r="K45" s="3">
        <f t="shared" si="8"/>
        <v>95.904130943102103</v>
      </c>
      <c r="L45" s="2"/>
      <c r="M45" s="7">
        <v>120</v>
      </c>
      <c r="N45" s="6">
        <v>168.3</v>
      </c>
      <c r="O45" s="5">
        <f t="shared" si="9"/>
        <v>4.6848903240173699E-3</v>
      </c>
      <c r="P45" s="5">
        <f t="shared" si="10"/>
        <v>2.1316250974279032</v>
      </c>
      <c r="Q45" s="3">
        <f t="shared" si="11"/>
        <v>85.265003897116131</v>
      </c>
      <c r="R45" s="1"/>
      <c r="S45" s="4">
        <f t="shared" si="1"/>
        <v>91.631592621460115</v>
      </c>
      <c r="T45" s="3">
        <f t="shared" si="2"/>
        <v>4.5888663372667455</v>
      </c>
      <c r="V45">
        <f t="shared" si="12"/>
        <v>5.0079521767386954E-2</v>
      </c>
    </row>
    <row r="46" spans="1:22">
      <c r="A46" s="7">
        <v>180</v>
      </c>
      <c r="B46" s="10">
        <v>198.7</v>
      </c>
      <c r="C46" s="5">
        <f t="shared" si="3"/>
        <v>5.5311212559848565E-3</v>
      </c>
      <c r="D46" s="5">
        <f t="shared" si="4"/>
        <v>2.5166601714731098</v>
      </c>
      <c r="E46" s="3">
        <f t="shared" si="5"/>
        <v>100.66640685892439</v>
      </c>
      <c r="F46" s="2"/>
      <c r="G46" s="9">
        <v>180</v>
      </c>
      <c r="H46" s="8">
        <v>191.3</v>
      </c>
      <c r="I46" s="5">
        <f t="shared" si="6"/>
        <v>5.3251308317559297E-3</v>
      </c>
      <c r="J46" s="5">
        <f t="shared" si="7"/>
        <v>2.4229345284489479</v>
      </c>
      <c r="K46" s="3">
        <f t="shared" si="8"/>
        <v>96.917381137957918</v>
      </c>
      <c r="L46" s="2"/>
      <c r="M46" s="7">
        <v>180</v>
      </c>
      <c r="N46" s="6">
        <v>196</v>
      </c>
      <c r="O46" s="5">
        <f t="shared" si="9"/>
        <v>5.4559625876851132E-3</v>
      </c>
      <c r="P46" s="5">
        <f t="shared" si="10"/>
        <v>2.4824629773967266</v>
      </c>
      <c r="Q46" s="3">
        <f t="shared" si="11"/>
        <v>99.298519095869068</v>
      </c>
      <c r="R46" s="1"/>
      <c r="S46" s="4">
        <f t="shared" si="1"/>
        <v>98.96076903091712</v>
      </c>
      <c r="T46" s="3">
        <f t="shared" si="2"/>
        <v>1.5490545060129044</v>
      </c>
      <c r="V46">
        <f t="shared" si="12"/>
        <v>1.5653218150810368E-2</v>
      </c>
    </row>
    <row r="47" spans="1:22">
      <c r="A47" s="6">
        <v>360</v>
      </c>
      <c r="B47" s="10">
        <v>192.8</v>
      </c>
      <c r="C47" s="5">
        <f t="shared" si="3"/>
        <v>5.3668856474780096E-3</v>
      </c>
      <c r="D47" s="5">
        <f t="shared" si="4"/>
        <v>2.4419329696024943</v>
      </c>
      <c r="E47" s="3">
        <f t="shared" si="5"/>
        <v>97.677318784099782</v>
      </c>
      <c r="F47" s="2"/>
      <c r="G47" s="22">
        <v>360</v>
      </c>
      <c r="H47" s="8">
        <v>193.4</v>
      </c>
      <c r="I47" s="5">
        <f t="shared" si="6"/>
        <v>5.3835875737668409E-3</v>
      </c>
      <c r="J47" s="5">
        <f t="shared" si="7"/>
        <v>2.4495323460639127</v>
      </c>
      <c r="K47" s="3">
        <f t="shared" si="8"/>
        <v>97.981293842556511</v>
      </c>
      <c r="L47" s="2"/>
      <c r="M47" s="6">
        <v>360</v>
      </c>
      <c r="N47" s="6">
        <v>200.1</v>
      </c>
      <c r="O47" s="5">
        <f t="shared" si="9"/>
        <v>5.5700924173254646E-3</v>
      </c>
      <c r="P47" s="5">
        <f t="shared" si="10"/>
        <v>2.5343920498830865</v>
      </c>
      <c r="Q47" s="3">
        <f t="shared" si="11"/>
        <v>101.37568199532345</v>
      </c>
      <c r="R47" s="1"/>
      <c r="S47" s="4">
        <f t="shared" si="1"/>
        <v>99.011431540659899</v>
      </c>
      <c r="T47" s="3">
        <f t="shared" si="2"/>
        <v>1.676377119131907</v>
      </c>
      <c r="V47">
        <f t="shared" si="12"/>
        <v>1.6931147172066573E-2</v>
      </c>
    </row>
    <row r="48" spans="1:22">
      <c r="A48" s="6"/>
      <c r="B48" s="10"/>
      <c r="C48" s="5"/>
      <c r="D48" s="5"/>
      <c r="E48" s="3"/>
      <c r="F48" s="2"/>
      <c r="G48" s="22"/>
      <c r="H48" s="8"/>
      <c r="I48" s="5"/>
      <c r="J48" s="5"/>
      <c r="K48" s="3"/>
      <c r="L48" s="2"/>
      <c r="M48" s="6"/>
      <c r="N48" s="6"/>
      <c r="O48" s="5"/>
      <c r="P48" s="5"/>
      <c r="Q48" s="3"/>
      <c r="R48" s="1"/>
      <c r="S48" s="1"/>
      <c r="T48" s="1"/>
    </row>
    <row r="49" spans="1:20">
      <c r="A49" s="6"/>
      <c r="B49" s="10"/>
      <c r="C49" s="5"/>
      <c r="D49" s="5"/>
      <c r="E49" s="1"/>
      <c r="F49" s="2"/>
      <c r="G49" s="22"/>
      <c r="H49" s="8"/>
      <c r="I49" s="5"/>
      <c r="J49" s="5"/>
      <c r="K49" s="1"/>
      <c r="L49" s="2"/>
      <c r="M49" s="6"/>
      <c r="N49" s="6"/>
      <c r="O49" s="5"/>
      <c r="P49" s="5"/>
      <c r="Q49" s="1"/>
      <c r="R49" s="1"/>
      <c r="S49" s="1"/>
      <c r="T49" s="1"/>
    </row>
    <row r="50" spans="1:20" ht="17" thickBo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14"/>
      <c r="T50" s="14"/>
    </row>
    <row r="51" spans="1:20">
      <c r="A51" s="42"/>
      <c r="B51" s="43"/>
      <c r="C51" s="18" t="s">
        <v>83</v>
      </c>
      <c r="D51" s="18"/>
      <c r="E51" s="17"/>
      <c r="F51" s="2"/>
      <c r="G51" s="42"/>
      <c r="H51" s="43"/>
      <c r="I51" s="18"/>
      <c r="J51" s="18"/>
      <c r="K51" s="17"/>
      <c r="L51" s="2"/>
      <c r="M51" s="42"/>
      <c r="N51" s="43"/>
      <c r="O51" s="18"/>
      <c r="P51" s="18"/>
      <c r="Q51" s="17"/>
      <c r="R51" s="6"/>
      <c r="S51" s="14"/>
      <c r="T51" s="14"/>
    </row>
    <row r="52" spans="1:20" ht="17" thickBot="1">
      <c r="A52" s="16">
        <v>60</v>
      </c>
      <c r="B52" s="6">
        <v>136.5</v>
      </c>
      <c r="C52" s="6">
        <f>B52/35924*1000/2</f>
        <v>1.8998441153546377</v>
      </c>
      <c r="D52" s="6"/>
      <c r="E52" s="11"/>
      <c r="F52" s="2"/>
      <c r="G52" s="16"/>
      <c r="H52" s="15"/>
      <c r="I52" s="6"/>
      <c r="J52" s="6"/>
      <c r="K52" s="11"/>
      <c r="L52" s="2"/>
      <c r="M52" s="16"/>
      <c r="N52" s="15"/>
      <c r="O52" s="6"/>
      <c r="P52" s="6"/>
      <c r="Q52" s="11"/>
      <c r="R52" s="6"/>
      <c r="S52" s="14"/>
      <c r="T52" s="14"/>
    </row>
    <row r="53" spans="1:20">
      <c r="A53" s="7"/>
      <c r="B53" s="6">
        <v>140.9</v>
      </c>
      <c r="C53" s="6">
        <f t="shared" ref="C53:C54" si="13">B53/35924*1000/2</f>
        <v>1.9610845117470217</v>
      </c>
      <c r="D53" s="6"/>
      <c r="E53" s="11"/>
      <c r="F53" s="2"/>
      <c r="G53" s="7"/>
      <c r="H53" s="6"/>
      <c r="I53" s="6"/>
      <c r="J53" s="6"/>
      <c r="K53" s="11"/>
      <c r="L53" s="2"/>
      <c r="M53" s="7"/>
      <c r="N53" s="6"/>
      <c r="O53" s="6"/>
      <c r="P53" s="6"/>
      <c r="Q53" s="11"/>
      <c r="R53" s="6"/>
      <c r="S53" s="13"/>
      <c r="T53" s="12"/>
    </row>
    <row r="54" spans="1:20">
      <c r="A54" s="7"/>
      <c r="B54" s="6">
        <v>117.1</v>
      </c>
      <c r="C54" s="6">
        <f t="shared" si="13"/>
        <v>1.6298296403518537</v>
      </c>
      <c r="D54" s="6"/>
      <c r="E54" s="11"/>
      <c r="F54" s="2"/>
      <c r="G54" s="7"/>
      <c r="H54" s="6"/>
      <c r="I54" s="6"/>
      <c r="J54" s="6"/>
      <c r="K54" s="11"/>
      <c r="L54" s="2"/>
      <c r="M54" s="7"/>
      <c r="N54" s="6"/>
      <c r="O54" s="6"/>
      <c r="P54" s="6"/>
      <c r="Q54" s="11"/>
      <c r="R54" s="6"/>
      <c r="S54" s="4"/>
      <c r="T54" s="3"/>
    </row>
    <row r="55" spans="1:20">
      <c r="A55" s="7"/>
      <c r="B55" s="6"/>
      <c r="C55" s="5">
        <f>AVERAGE(C52:C54)</f>
        <v>1.8302527558178376</v>
      </c>
      <c r="D55" s="5"/>
      <c r="E55" s="3"/>
      <c r="F55" s="2"/>
      <c r="G55" s="7"/>
      <c r="H55" s="6"/>
      <c r="I55" s="5"/>
      <c r="J55" s="5"/>
      <c r="K55" s="3"/>
      <c r="L55" s="2"/>
      <c r="M55" s="7"/>
      <c r="N55" s="6"/>
      <c r="O55" s="5"/>
      <c r="P55" s="5"/>
      <c r="Q55" s="3"/>
      <c r="R55" s="1"/>
      <c r="S55" s="4"/>
      <c r="T55" s="3"/>
    </row>
    <row r="56" spans="1:20">
      <c r="A56" s="7"/>
      <c r="B56" s="6"/>
      <c r="C56" s="5">
        <f>STDEV(C52:C54)</f>
        <v>0.17625171048075658</v>
      </c>
      <c r="D56" s="5"/>
      <c r="E56" s="3"/>
      <c r="F56" s="2"/>
      <c r="G56" s="7"/>
      <c r="H56" s="6"/>
      <c r="I56" s="5"/>
      <c r="J56" s="5"/>
      <c r="K56" s="3"/>
      <c r="L56" s="2"/>
      <c r="M56" s="7"/>
      <c r="N56" s="6"/>
      <c r="O56" s="5"/>
      <c r="P56" s="5"/>
      <c r="Q56" s="3"/>
      <c r="R56" s="1"/>
      <c r="S56" s="4"/>
      <c r="T56" s="3"/>
    </row>
    <row r="57" spans="1:20">
      <c r="A57" s="7"/>
      <c r="B57" s="6"/>
      <c r="C57" s="5"/>
      <c r="D57" s="5"/>
      <c r="E57" s="3"/>
      <c r="F57" s="2"/>
      <c r="G57" s="7"/>
      <c r="H57" s="6"/>
      <c r="I57" s="5"/>
      <c r="J57" s="5"/>
      <c r="K57" s="3"/>
      <c r="L57" s="2"/>
      <c r="M57" s="7"/>
      <c r="N57" s="6"/>
      <c r="O57" s="5"/>
      <c r="P57" s="5"/>
      <c r="Q57" s="3"/>
      <c r="R57" s="1"/>
      <c r="S57" s="4"/>
      <c r="T57" s="3"/>
    </row>
    <row r="58" spans="1:20">
      <c r="A58" s="7">
        <v>180</v>
      </c>
      <c r="B58" s="10">
        <v>198.7</v>
      </c>
      <c r="C58" s="6">
        <f>B58/35924*1000/2</f>
        <v>2.7655606279924281</v>
      </c>
      <c r="D58" s="5"/>
      <c r="E58" s="3"/>
      <c r="F58" s="2"/>
      <c r="G58" s="7"/>
      <c r="H58" s="6"/>
      <c r="I58" s="5"/>
      <c r="J58" s="5"/>
      <c r="K58" s="3"/>
      <c r="L58" s="2"/>
      <c r="M58" s="7"/>
      <c r="N58" s="6"/>
      <c r="O58" s="5"/>
      <c r="P58" s="5"/>
      <c r="Q58" s="3"/>
      <c r="R58" s="1"/>
      <c r="S58" s="4"/>
      <c r="T58" s="3"/>
    </row>
    <row r="59" spans="1:20">
      <c r="A59" s="7"/>
      <c r="B59" s="8">
        <v>191.3</v>
      </c>
      <c r="C59" s="6">
        <f t="shared" ref="C59:C60" si="14">B59/35924*1000/2</f>
        <v>2.6625654158779648</v>
      </c>
      <c r="D59" s="5"/>
      <c r="E59" s="3"/>
      <c r="F59" s="2"/>
      <c r="G59" s="7"/>
      <c r="H59" s="6"/>
      <c r="I59" s="5"/>
      <c r="J59" s="5"/>
      <c r="K59" s="3"/>
      <c r="L59" s="2"/>
      <c r="M59" s="7"/>
      <c r="N59" s="6"/>
      <c r="O59" s="5"/>
      <c r="P59" s="5"/>
      <c r="Q59" s="3"/>
      <c r="R59" s="1"/>
      <c r="S59" s="4"/>
      <c r="T59" s="3"/>
    </row>
    <row r="60" spans="1:20">
      <c r="A60" s="7"/>
      <c r="B60" s="6">
        <v>196</v>
      </c>
      <c r="C60" s="6">
        <f t="shared" si="14"/>
        <v>2.7279812938425567</v>
      </c>
      <c r="D60" s="5"/>
      <c r="E60" s="3"/>
      <c r="F60" s="2"/>
      <c r="G60" s="7"/>
      <c r="H60" s="6"/>
      <c r="I60" s="5"/>
      <c r="J60" s="5"/>
      <c r="K60" s="3"/>
      <c r="L60" s="2"/>
      <c r="M60" s="7"/>
      <c r="N60" s="6"/>
      <c r="O60" s="5"/>
      <c r="P60" s="5"/>
      <c r="Q60" s="3"/>
      <c r="R60" s="1"/>
      <c r="S60" s="4"/>
      <c r="T60" s="3"/>
    </row>
    <row r="61" spans="1:20">
      <c r="A61" s="7"/>
      <c r="B61" s="6"/>
      <c r="C61" s="5">
        <f>AVERAGE(C58:C60)</f>
        <v>2.7187024459043165</v>
      </c>
      <c r="D61" s="5"/>
      <c r="E61" s="3"/>
      <c r="F61" s="2"/>
      <c r="G61" s="7"/>
      <c r="H61" s="6"/>
      <c r="I61" s="5"/>
      <c r="J61" s="5"/>
      <c r="K61" s="3"/>
      <c r="L61" s="2"/>
      <c r="M61" s="7"/>
      <c r="N61" s="6"/>
      <c r="O61" s="5"/>
      <c r="P61" s="5"/>
      <c r="Q61" s="3"/>
      <c r="R61" s="1"/>
      <c r="S61" s="4"/>
      <c r="T61" s="3"/>
    </row>
    <row r="62" spans="1:20">
      <c r="A62" s="7"/>
      <c r="B62" s="10"/>
      <c r="C62" s="5">
        <f>STDEV(C58:C60)</f>
        <v>5.2120784663333287E-2</v>
      </c>
      <c r="D62" s="5"/>
      <c r="E62" s="3"/>
      <c r="F62" s="2"/>
      <c r="G62" s="9"/>
      <c r="H62" s="8"/>
      <c r="I62" s="5"/>
      <c r="J62" s="5"/>
      <c r="K62" s="3"/>
      <c r="L62" s="2"/>
      <c r="M62" s="7"/>
      <c r="N62" s="6"/>
      <c r="O62" s="5"/>
      <c r="P62" s="5"/>
      <c r="Q62" s="3"/>
      <c r="R62" s="1"/>
      <c r="S62" s="4"/>
      <c r="T62" s="3"/>
    </row>
    <row r="63" spans="1:20">
      <c r="A63" s="7"/>
      <c r="B63" s="10"/>
      <c r="C63" s="5"/>
      <c r="D63" s="5"/>
      <c r="E63" s="3"/>
      <c r="F63" s="2"/>
      <c r="G63" s="9"/>
      <c r="H63" s="8"/>
      <c r="I63" s="5"/>
      <c r="J63" s="5"/>
      <c r="K63" s="3"/>
      <c r="L63" s="2"/>
      <c r="M63" s="7"/>
      <c r="N63" s="6"/>
      <c r="O63" s="5"/>
      <c r="P63" s="5"/>
      <c r="Q63" s="3"/>
      <c r="R63" s="1"/>
      <c r="S63" s="4"/>
      <c r="T63" s="3"/>
    </row>
    <row r="64" spans="1:20">
      <c r="A64" s="9"/>
      <c r="B64" s="22"/>
      <c r="C64" s="5"/>
      <c r="D64" s="5"/>
      <c r="E64" s="3"/>
      <c r="G64" s="9"/>
      <c r="H64" s="22"/>
      <c r="I64" s="23"/>
      <c r="J64" s="23"/>
      <c r="K64" s="24"/>
      <c r="M64" s="9"/>
      <c r="N64" s="22"/>
      <c r="O64" s="5"/>
      <c r="P64" s="5"/>
      <c r="Q64" s="3"/>
      <c r="S64" s="4"/>
      <c r="T64" s="24"/>
    </row>
    <row r="65" spans="1:20">
      <c r="A65" s="9"/>
      <c r="B65" s="22"/>
      <c r="C65" s="5"/>
      <c r="D65" s="5"/>
      <c r="E65" s="3"/>
      <c r="G65" s="9"/>
      <c r="H65" s="22"/>
      <c r="I65" s="23"/>
      <c r="J65" s="23"/>
      <c r="K65" s="24"/>
      <c r="M65" s="9"/>
      <c r="N65" s="22"/>
      <c r="O65" s="5"/>
      <c r="P65" s="5"/>
      <c r="Q65" s="3"/>
      <c r="S65" s="4"/>
      <c r="T65" s="24"/>
    </row>
    <row r="73" spans="1:20">
      <c r="A73" t="s">
        <v>20</v>
      </c>
      <c r="B73" t="e">
        <f>_xlfn.T.TEST(B69:B71,C69:C71,2,2)</f>
        <v>#DIV/0!</v>
      </c>
    </row>
    <row r="76" spans="1:20">
      <c r="A76" s="7" t="s">
        <v>6</v>
      </c>
      <c r="B76" s="6" t="s">
        <v>5</v>
      </c>
      <c r="C76" s="6" t="s">
        <v>4</v>
      </c>
      <c r="D76" s="6" t="s">
        <v>3</v>
      </c>
      <c r="E76" s="11" t="s">
        <v>2</v>
      </c>
      <c r="F76" s="22" t="s">
        <v>81</v>
      </c>
      <c r="I76" t="s">
        <v>18</v>
      </c>
      <c r="K76">
        <v>44.4</v>
      </c>
    </row>
    <row r="77" spans="1:20">
      <c r="A77" t="s">
        <v>80</v>
      </c>
      <c r="B77">
        <v>16472.5</v>
      </c>
      <c r="C77">
        <f>B77/85231*1000</f>
        <v>193.26888104093581</v>
      </c>
      <c r="F77">
        <v>723</v>
      </c>
      <c r="I77" t="s">
        <v>17</v>
      </c>
      <c r="J77" t="s">
        <v>16</v>
      </c>
      <c r="K77">
        <v>44.5</v>
      </c>
    </row>
    <row r="78" spans="1:20">
      <c r="B78">
        <v>12983.1</v>
      </c>
      <c r="C78">
        <f>B78/85231*1000</f>
        <v>152.32837817226127</v>
      </c>
      <c r="F78">
        <v>922</v>
      </c>
      <c r="I78" s="19">
        <v>5.0000000000000001E-4</v>
      </c>
      <c r="J78" s="20">
        <f>AVERAGE(K76:K78)</f>
        <v>44.333333333333336</v>
      </c>
      <c r="K78">
        <v>44.1</v>
      </c>
    </row>
    <row r="79" spans="1:20">
      <c r="C79">
        <f>AVERAGE(C77:C78)</f>
        <v>172.79862960659852</v>
      </c>
      <c r="F79">
        <v>707</v>
      </c>
      <c r="I79" s="19">
        <v>1E-3</v>
      </c>
      <c r="J79">
        <v>76.400000000000006</v>
      </c>
    </row>
    <row r="80" spans="1:20">
      <c r="C80">
        <f>STDEV(C77:C79)</f>
        <v>20.470251434337271</v>
      </c>
      <c r="F80">
        <v>996</v>
      </c>
      <c r="I80" s="19">
        <v>0.01</v>
      </c>
      <c r="J80" s="21">
        <v>884.2</v>
      </c>
    </row>
    <row r="81" spans="1:10">
      <c r="F81">
        <v>859</v>
      </c>
      <c r="I81" s="19">
        <v>0.1</v>
      </c>
      <c r="J81" s="21">
        <v>7761.9</v>
      </c>
    </row>
    <row r="82" spans="1:10">
      <c r="F82">
        <v>953</v>
      </c>
      <c r="I82" s="19">
        <v>0.5</v>
      </c>
      <c r="J82" s="21">
        <v>42767.199999999997</v>
      </c>
    </row>
    <row r="83" spans="1:10">
      <c r="F83">
        <f>AVERAGE(F77:F82)</f>
        <v>860</v>
      </c>
    </row>
    <row r="84" spans="1:10">
      <c r="F84">
        <f>STDEV(F77:F83)</f>
        <v>110.42946466711983</v>
      </c>
      <c r="I84" t="s">
        <v>0</v>
      </c>
      <c r="J84" t="s">
        <v>15</v>
      </c>
    </row>
    <row r="85" spans="1:10">
      <c r="I85">
        <f>STDEV(K76:K78)</f>
        <v>0.20816659994661224</v>
      </c>
      <c r="J85">
        <f>3*I85/26064</f>
        <v>2.3960244008587964E-5</v>
      </c>
    </row>
    <row r="86" spans="1:10">
      <c r="A86" t="s">
        <v>82</v>
      </c>
      <c r="B86">
        <v>1557.4</v>
      </c>
      <c r="C86">
        <f>B86/85231*1000</f>
        <v>18.27269420750666</v>
      </c>
      <c r="F86">
        <v>387</v>
      </c>
    </row>
    <row r="87" spans="1:10">
      <c r="B87">
        <v>1445.7</v>
      </c>
      <c r="C87">
        <f>B87/85231*1000</f>
        <v>16.96213818915653</v>
      </c>
      <c r="F87">
        <v>487</v>
      </c>
    </row>
    <row r="88" spans="1:10">
      <c r="C88">
        <f>AVERAGE(C86:C87)</f>
        <v>17.617416198331597</v>
      </c>
      <c r="F88">
        <v>371</v>
      </c>
    </row>
    <row r="89" spans="1:10">
      <c r="C89">
        <f>STDEV(C86:C88)</f>
        <v>0.65527800917506518</v>
      </c>
      <c r="F89">
        <v>965</v>
      </c>
    </row>
    <row r="90" spans="1:10">
      <c r="F90">
        <v>1133</v>
      </c>
    </row>
    <row r="91" spans="1:10">
      <c r="F91">
        <v>1070</v>
      </c>
    </row>
    <row r="92" spans="1:10">
      <c r="F92">
        <f>AVERAGE(F86:F91)</f>
        <v>735.5</v>
      </c>
    </row>
    <row r="93" spans="1:10">
      <c r="F93">
        <f>STDEV(F86:F92)</f>
        <v>326.2492656441288</v>
      </c>
    </row>
  </sheetData>
  <mergeCells count="6">
    <mergeCell ref="A34:B34"/>
    <mergeCell ref="G34:H34"/>
    <mergeCell ref="M34:N34"/>
    <mergeCell ref="A51:B51"/>
    <mergeCell ref="G51:H51"/>
    <mergeCell ref="M51:N51"/>
  </mergeCells>
  <pageMargins left="0.7" right="0.7" top="0.75" bottom="0.75" header="0.3" footer="0.3"/>
  <pageSetup paperSize="9" orientation="portrait" horizontalDpi="0" verticalDpi="0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876171-BB4B-BF41-8EFF-511332807DF9}">
  <dimension ref="A1:T61"/>
  <sheetViews>
    <sheetView topLeftCell="H26" workbookViewId="0">
      <selection activeCell="O65" sqref="O65"/>
    </sheetView>
  </sheetViews>
  <sheetFormatPr baseColWidth="10" defaultRowHeight="16"/>
  <cols>
    <col min="2" max="2" width="21" customWidth="1"/>
  </cols>
  <sheetData>
    <row r="1" spans="1:13">
      <c r="A1" t="s">
        <v>18</v>
      </c>
      <c r="C1">
        <v>39.6</v>
      </c>
    </row>
    <row r="2" spans="1:13">
      <c r="A2" t="s">
        <v>17</v>
      </c>
      <c r="B2" t="s">
        <v>16</v>
      </c>
      <c r="C2">
        <v>41.5</v>
      </c>
    </row>
    <row r="3" spans="1:13">
      <c r="A3" s="26">
        <v>5.0000000000000001E-4</v>
      </c>
      <c r="B3" s="27">
        <f>AVERAGE(C1:C3)</f>
        <v>40.299999999999997</v>
      </c>
      <c r="C3">
        <v>39.799999999999997</v>
      </c>
      <c r="L3" s="26"/>
      <c r="M3" s="27"/>
    </row>
    <row r="4" spans="1:13">
      <c r="A4" s="26">
        <v>1E-3</v>
      </c>
      <c r="B4" s="28">
        <v>103.1</v>
      </c>
      <c r="L4" s="26"/>
      <c r="M4" s="28"/>
    </row>
    <row r="5" spans="1:13">
      <c r="A5" s="26">
        <v>0.01</v>
      </c>
      <c r="B5" s="28">
        <v>457</v>
      </c>
      <c r="L5" s="26"/>
      <c r="M5" s="28"/>
    </row>
    <row r="6" spans="1:13">
      <c r="A6" s="26">
        <v>0.1</v>
      </c>
      <c r="B6" s="28">
        <v>4619.8999999999996</v>
      </c>
      <c r="L6" s="26"/>
      <c r="M6" s="28"/>
    </row>
    <row r="7" spans="1:13">
      <c r="A7" s="26">
        <v>0.5</v>
      </c>
      <c r="B7" s="28">
        <v>20925.599999999999</v>
      </c>
      <c r="L7" s="26"/>
      <c r="M7" s="28"/>
    </row>
    <row r="9" spans="1:13">
      <c r="A9" t="s">
        <v>0</v>
      </c>
      <c r="B9" t="s">
        <v>15</v>
      </c>
    </row>
    <row r="10" spans="1:13">
      <c r="A10">
        <f>STDEV(C1:C3)</f>
        <v>1.0440306508910551</v>
      </c>
      <c r="B10">
        <f>3*A10/26064</f>
        <v>1.2016927381342715E-4</v>
      </c>
    </row>
    <row r="16" spans="1:13">
      <c r="A16" t="s">
        <v>26</v>
      </c>
      <c r="B16" t="s">
        <v>27</v>
      </c>
    </row>
    <row r="17" spans="1:20">
      <c r="A17" t="s">
        <v>22</v>
      </c>
      <c r="B17" t="s">
        <v>36</v>
      </c>
    </row>
    <row r="18" spans="1:20">
      <c r="A18" t="s">
        <v>23</v>
      </c>
      <c r="B18" t="s">
        <v>35</v>
      </c>
    </row>
    <row r="19" spans="1:20">
      <c r="A19" t="s">
        <v>24</v>
      </c>
      <c r="B19" t="s">
        <v>28</v>
      </c>
    </row>
    <row r="20" spans="1:20">
      <c r="A20" t="s">
        <v>25</v>
      </c>
      <c r="B20" t="s">
        <v>29</v>
      </c>
    </row>
    <row r="21" spans="1:20">
      <c r="A21" t="s">
        <v>30</v>
      </c>
      <c r="B21" t="s">
        <v>44</v>
      </c>
    </row>
    <row r="24" spans="1:20">
      <c r="A24" t="s">
        <v>42</v>
      </c>
      <c r="B24" t="s">
        <v>34</v>
      </c>
    </row>
    <row r="25" spans="1:20">
      <c r="A25" t="s">
        <v>16</v>
      </c>
      <c r="B25" t="s">
        <v>21</v>
      </c>
    </row>
    <row r="26" spans="1:20">
      <c r="A26">
        <v>29124.9</v>
      </c>
      <c r="B26">
        <f>A26/42833</f>
        <v>0.67996404641281261</v>
      </c>
    </row>
    <row r="27" spans="1:20">
      <c r="A27">
        <v>28720.400000000001</v>
      </c>
      <c r="B27">
        <f t="shared" ref="B27:B28" si="0">A27/42833</f>
        <v>0.6705203931548106</v>
      </c>
    </row>
    <row r="28" spans="1:20">
      <c r="A28">
        <v>28830.2</v>
      </c>
      <c r="B28">
        <f t="shared" si="0"/>
        <v>0.67308383722830534</v>
      </c>
    </row>
    <row r="29" spans="1:20">
      <c r="B29">
        <f>AVERAGE(B26:B28)</f>
        <v>0.67452275893197611</v>
      </c>
    </row>
    <row r="31" spans="1:20" ht="17" thickBot="1"/>
    <row r="32" spans="1:20">
      <c r="A32" s="42" t="s">
        <v>45</v>
      </c>
      <c r="B32" s="43"/>
      <c r="C32" s="18">
        <v>5.5</v>
      </c>
      <c r="D32" s="18"/>
      <c r="E32" s="17"/>
      <c r="F32" s="2"/>
      <c r="G32" s="42" t="s">
        <v>45</v>
      </c>
      <c r="H32" s="43"/>
      <c r="I32" s="18">
        <v>5.5</v>
      </c>
      <c r="J32" s="18"/>
      <c r="K32" s="17"/>
      <c r="L32" s="2"/>
      <c r="M32" s="42" t="s">
        <v>45</v>
      </c>
      <c r="N32" s="43"/>
      <c r="O32" s="18">
        <v>5.5</v>
      </c>
      <c r="P32" s="18"/>
      <c r="Q32" s="17"/>
      <c r="R32" s="6"/>
      <c r="S32" s="2"/>
      <c r="T32" s="2"/>
    </row>
    <row r="33" spans="1:20" ht="17" thickBot="1">
      <c r="A33" s="16" t="s">
        <v>13</v>
      </c>
      <c r="B33" s="15"/>
      <c r="C33" s="6"/>
      <c r="D33" s="6"/>
      <c r="E33" s="11"/>
      <c r="F33" s="2"/>
      <c r="G33" s="16" t="s">
        <v>12</v>
      </c>
      <c r="H33" s="15"/>
      <c r="I33" s="6"/>
      <c r="J33" s="6"/>
      <c r="K33" s="11"/>
      <c r="L33" s="2"/>
      <c r="M33" s="16" t="s">
        <v>11</v>
      </c>
      <c r="N33" s="15"/>
      <c r="O33" s="6"/>
      <c r="P33" s="6"/>
      <c r="Q33" s="11"/>
      <c r="R33" s="6"/>
      <c r="S33" s="2"/>
      <c r="T33" s="2"/>
    </row>
    <row r="34" spans="1:20">
      <c r="A34" s="7" t="s">
        <v>6</v>
      </c>
      <c r="B34" s="6" t="s">
        <v>5</v>
      </c>
      <c r="C34" s="6" t="s">
        <v>4</v>
      </c>
      <c r="D34" s="6" t="s">
        <v>3</v>
      </c>
      <c r="E34" s="11" t="s">
        <v>2</v>
      </c>
      <c r="F34" s="2"/>
      <c r="G34" s="7" t="s">
        <v>6</v>
      </c>
      <c r="H34" s="6" t="s">
        <v>5</v>
      </c>
      <c r="I34" s="6" t="s">
        <v>4</v>
      </c>
      <c r="J34" s="6" t="s">
        <v>3</v>
      </c>
      <c r="K34" s="11" t="s">
        <v>2</v>
      </c>
      <c r="L34" s="2"/>
      <c r="M34" s="7" t="s">
        <v>6</v>
      </c>
      <c r="N34" s="6" t="s">
        <v>5</v>
      </c>
      <c r="O34" s="6" t="s">
        <v>4</v>
      </c>
      <c r="P34" s="6" t="s">
        <v>3</v>
      </c>
      <c r="Q34" s="11" t="s">
        <v>2</v>
      </c>
      <c r="R34" s="6"/>
      <c r="S34" s="13" t="s">
        <v>1</v>
      </c>
      <c r="T34" s="12" t="s">
        <v>0</v>
      </c>
    </row>
    <row r="35" spans="1:20">
      <c r="A35" s="7">
        <v>0</v>
      </c>
      <c r="B35" s="10">
        <v>0</v>
      </c>
      <c r="C35" s="5">
        <v>0</v>
      </c>
      <c r="D35" s="5">
        <v>0</v>
      </c>
      <c r="E35" s="3">
        <v>0</v>
      </c>
      <c r="F35" s="2"/>
      <c r="G35" s="7">
        <v>0</v>
      </c>
      <c r="H35" s="10">
        <v>0</v>
      </c>
      <c r="I35" s="5">
        <v>0</v>
      </c>
      <c r="J35" s="5">
        <v>0</v>
      </c>
      <c r="K35" s="3">
        <v>0</v>
      </c>
      <c r="L35" s="2"/>
      <c r="M35" s="7">
        <v>0</v>
      </c>
      <c r="N35" s="10">
        <v>0</v>
      </c>
      <c r="O35" s="5">
        <f>N35/25144</f>
        <v>0</v>
      </c>
      <c r="P35" s="5">
        <f>O35*900</f>
        <v>0</v>
      </c>
      <c r="Q35" s="3">
        <v>0</v>
      </c>
      <c r="R35" s="1"/>
      <c r="S35" s="4">
        <f t="shared" ref="S35:S45" si="1">AVERAGE(E35,K35,Q35)</f>
        <v>0</v>
      </c>
      <c r="T35" s="3">
        <f t="shared" ref="T35:T45" si="2">STDEVP(E35,K35,Q35)</f>
        <v>0</v>
      </c>
    </row>
    <row r="36" spans="1:20">
      <c r="A36" s="7">
        <v>5</v>
      </c>
      <c r="B36" s="10">
        <v>124.7</v>
      </c>
      <c r="C36" s="5">
        <f>B36/42020</f>
        <v>2.9676344597810568E-3</v>
      </c>
      <c r="D36" s="5">
        <f>C36*900</f>
        <v>2.6708710138029512</v>
      </c>
      <c r="E36" s="3">
        <f>D36/5.5*100</f>
        <v>48.561291160053663</v>
      </c>
      <c r="F36" s="2"/>
      <c r="G36" s="7">
        <v>5</v>
      </c>
      <c r="H36" s="10">
        <v>103.6</v>
      </c>
      <c r="I36" s="5">
        <f>H36/42020</f>
        <v>2.4654926225606854E-3</v>
      </c>
      <c r="J36" s="5">
        <f>I36*900</f>
        <v>2.2189433603046167</v>
      </c>
      <c r="K36" s="3">
        <f>J36/5.5*100</f>
        <v>40.344424732811213</v>
      </c>
      <c r="L36" s="2"/>
      <c r="M36" s="7">
        <v>5</v>
      </c>
      <c r="N36" s="10">
        <v>101.3</v>
      </c>
      <c r="O36" s="5">
        <f>N36/42020</f>
        <v>2.4107567824845312E-3</v>
      </c>
      <c r="P36" s="5">
        <f>O36*900</f>
        <v>2.1696811042360782</v>
      </c>
      <c r="Q36" s="3">
        <f>P36/5.5*100</f>
        <v>39.448747349746874</v>
      </c>
      <c r="R36" s="1"/>
      <c r="S36" s="4">
        <f t="shared" si="1"/>
        <v>42.784821080870586</v>
      </c>
      <c r="T36" s="3">
        <f t="shared" si="2"/>
        <v>4.1009157046856641</v>
      </c>
    </row>
    <row r="37" spans="1:20">
      <c r="A37" s="7">
        <v>15</v>
      </c>
      <c r="B37" s="10">
        <v>221.7</v>
      </c>
      <c r="C37" s="5">
        <f t="shared" ref="C37:C45" si="3">B37/42020</f>
        <v>5.2760590195145163E-3</v>
      </c>
      <c r="D37" s="5">
        <f t="shared" ref="D37:D45" si="4">C37*900</f>
        <v>4.7484531175630647</v>
      </c>
      <c r="E37" s="3">
        <f t="shared" ref="E37:E45" si="5">D37/5.5*100</f>
        <v>86.335511228419364</v>
      </c>
      <c r="F37" s="2"/>
      <c r="G37" s="7">
        <v>15</v>
      </c>
      <c r="H37" s="6">
        <v>187.6</v>
      </c>
      <c r="I37" s="5">
        <f t="shared" ref="I37:I45" si="6">H37/42020</f>
        <v>4.4645406949071868E-3</v>
      </c>
      <c r="J37" s="5">
        <f t="shared" ref="J37:J45" si="7">I37*900</f>
        <v>4.0180866254164682</v>
      </c>
      <c r="K37" s="3">
        <f t="shared" ref="K37:K45" si="8">J37/5.5*100</f>
        <v>73.056120462117605</v>
      </c>
      <c r="L37" s="2"/>
      <c r="M37" s="7">
        <v>15</v>
      </c>
      <c r="N37" s="6">
        <v>247.5</v>
      </c>
      <c r="O37" s="5">
        <f t="shared" ref="O37:O45" si="9">N37/42020</f>
        <v>5.8900523560209425E-3</v>
      </c>
      <c r="P37" s="5">
        <f t="shared" ref="P37:P45" si="10">O37*900</f>
        <v>5.3010471204188487</v>
      </c>
      <c r="Q37" s="3">
        <f t="shared" ref="Q37:Q45" si="11">P37/5.5*100</f>
        <v>96.38267491670635</v>
      </c>
      <c r="R37" s="1"/>
      <c r="S37" s="4">
        <f t="shared" si="1"/>
        <v>85.258102202414435</v>
      </c>
      <c r="T37" s="3">
        <f t="shared" si="2"/>
        <v>9.553451150856775</v>
      </c>
    </row>
    <row r="38" spans="1:20">
      <c r="A38" s="7">
        <v>30</v>
      </c>
      <c r="B38" s="6">
        <v>257.3</v>
      </c>
      <c r="C38" s="5">
        <f t="shared" si="3"/>
        <v>6.1232746311280341E-3</v>
      </c>
      <c r="D38" s="5">
        <f t="shared" si="4"/>
        <v>5.5109471680152309</v>
      </c>
      <c r="E38" s="3">
        <f t="shared" si="5"/>
        <v>100.19903941845874</v>
      </c>
      <c r="F38" s="2"/>
      <c r="G38" s="7">
        <v>30</v>
      </c>
      <c r="H38" s="6">
        <v>243.3</v>
      </c>
      <c r="I38" s="5">
        <f t="shared" si="6"/>
        <v>5.7900999524036177E-3</v>
      </c>
      <c r="J38" s="5">
        <f t="shared" si="7"/>
        <v>5.2110899571632556</v>
      </c>
      <c r="K38" s="3">
        <f t="shared" si="8"/>
        <v>94.747090130241006</v>
      </c>
      <c r="L38" s="2"/>
      <c r="M38" s="7">
        <v>30</v>
      </c>
      <c r="N38" s="6">
        <v>259.39999999999998</v>
      </c>
      <c r="O38" s="5">
        <f t="shared" si="9"/>
        <v>6.1732508329366961E-3</v>
      </c>
      <c r="P38" s="5">
        <f t="shared" si="10"/>
        <v>5.5559257496430261</v>
      </c>
      <c r="Q38" s="3">
        <f t="shared" si="11"/>
        <v>101.01683181169139</v>
      </c>
      <c r="R38" s="1"/>
      <c r="S38" s="4">
        <f t="shared" si="1"/>
        <v>98.654320453463697</v>
      </c>
      <c r="T38" s="3">
        <f t="shared" si="2"/>
        <v>2.7829280381929333</v>
      </c>
    </row>
    <row r="39" spans="1:20">
      <c r="A39" s="7">
        <v>45</v>
      </c>
      <c r="B39" s="6">
        <v>258.60000000000002</v>
      </c>
      <c r="C39" s="5">
        <f t="shared" si="3"/>
        <v>6.1542122798667305E-3</v>
      </c>
      <c r="D39" s="5">
        <f t="shared" si="4"/>
        <v>5.5387910518800574</v>
      </c>
      <c r="E39" s="3">
        <f t="shared" si="5"/>
        <v>100.70529185236468</v>
      </c>
      <c r="F39" s="2"/>
      <c r="G39" s="7">
        <v>45</v>
      </c>
      <c r="H39" s="6">
        <v>253.1</v>
      </c>
      <c r="I39" s="5">
        <f t="shared" si="6"/>
        <v>6.0233222275107093E-3</v>
      </c>
      <c r="J39" s="5">
        <f t="shared" si="7"/>
        <v>5.4209900047596387</v>
      </c>
      <c r="K39" s="3">
        <f t="shared" si="8"/>
        <v>98.563454631993437</v>
      </c>
      <c r="L39" s="2"/>
      <c r="M39" s="7">
        <v>45</v>
      </c>
      <c r="N39" s="6">
        <v>258.60000000000002</v>
      </c>
      <c r="O39" s="5">
        <f t="shared" si="9"/>
        <v>6.1542122798667305E-3</v>
      </c>
      <c r="P39" s="5">
        <f t="shared" si="10"/>
        <v>5.5387910518800574</v>
      </c>
      <c r="Q39" s="3">
        <f t="shared" si="11"/>
        <v>100.70529185236468</v>
      </c>
      <c r="R39" s="1"/>
      <c r="S39" s="4">
        <f t="shared" si="1"/>
        <v>99.991346112240933</v>
      </c>
      <c r="T39" s="3">
        <f t="shared" si="2"/>
        <v>1.0096717484815014</v>
      </c>
    </row>
    <row r="40" spans="1:20">
      <c r="A40" s="7">
        <v>60</v>
      </c>
      <c r="B40" s="6">
        <v>257.7</v>
      </c>
      <c r="C40" s="5">
        <f t="shared" si="3"/>
        <v>6.1327939076630178E-3</v>
      </c>
      <c r="D40" s="5">
        <f t="shared" si="4"/>
        <v>5.5195145168967157</v>
      </c>
      <c r="E40" s="3">
        <f t="shared" si="5"/>
        <v>100.35480939812211</v>
      </c>
      <c r="F40" s="2"/>
      <c r="G40" s="7">
        <v>60</v>
      </c>
      <c r="H40" s="6">
        <v>254.5</v>
      </c>
      <c r="I40" s="5">
        <f t="shared" si="6"/>
        <v>6.0566396953831512E-3</v>
      </c>
      <c r="J40" s="5">
        <f t="shared" si="7"/>
        <v>5.4509757258448364</v>
      </c>
      <c r="K40" s="3">
        <f t="shared" si="8"/>
        <v>99.108649560815209</v>
      </c>
      <c r="L40" s="2"/>
      <c r="M40" s="7">
        <v>60</v>
      </c>
      <c r="N40" s="6">
        <v>256</v>
      </c>
      <c r="O40" s="5">
        <f t="shared" si="9"/>
        <v>6.0923369823893386E-3</v>
      </c>
      <c r="P40" s="5">
        <f t="shared" si="10"/>
        <v>5.4831032841504044</v>
      </c>
      <c r="Q40" s="3">
        <f t="shared" si="11"/>
        <v>99.692786984552811</v>
      </c>
      <c r="R40" s="1"/>
      <c r="S40" s="4">
        <f t="shared" si="1"/>
        <v>99.718748647830054</v>
      </c>
      <c r="T40" s="3">
        <f t="shared" si="2"/>
        <v>0.50907372812411855</v>
      </c>
    </row>
    <row r="41" spans="1:20">
      <c r="A41" s="7">
        <v>75</v>
      </c>
      <c r="B41" s="6">
        <v>255.9</v>
      </c>
      <c r="C41" s="5">
        <f t="shared" si="3"/>
        <v>6.0899571632555931E-3</v>
      </c>
      <c r="D41" s="5">
        <f t="shared" si="4"/>
        <v>5.4809614469300341</v>
      </c>
      <c r="E41" s="3">
        <f t="shared" si="5"/>
        <v>99.653844489636981</v>
      </c>
      <c r="F41" s="2"/>
      <c r="G41" s="7">
        <v>75</v>
      </c>
      <c r="H41" s="6">
        <v>253.1</v>
      </c>
      <c r="I41" s="5">
        <f t="shared" si="6"/>
        <v>6.0233222275107093E-3</v>
      </c>
      <c r="J41" s="5">
        <f t="shared" si="7"/>
        <v>5.4209900047596387</v>
      </c>
      <c r="K41" s="3">
        <f t="shared" si="8"/>
        <v>98.563454631993437</v>
      </c>
      <c r="L41" s="2"/>
      <c r="M41" s="7">
        <v>75</v>
      </c>
      <c r="N41" s="10">
        <v>256.2</v>
      </c>
      <c r="O41" s="5">
        <f t="shared" si="9"/>
        <v>6.0970966206568295E-3</v>
      </c>
      <c r="P41" s="5">
        <f t="shared" si="10"/>
        <v>5.4873869585911468</v>
      </c>
      <c r="Q41" s="3">
        <f t="shared" si="11"/>
        <v>99.770671974384484</v>
      </c>
      <c r="R41" s="1"/>
      <c r="S41" s="4">
        <f t="shared" si="1"/>
        <v>99.329323698671644</v>
      </c>
      <c r="T41" s="3"/>
    </row>
    <row r="42" spans="1:20">
      <c r="A42" s="7">
        <v>90</v>
      </c>
      <c r="B42" s="10">
        <v>254.8</v>
      </c>
      <c r="C42" s="5">
        <f t="shared" si="3"/>
        <v>6.0637791527843885E-3</v>
      </c>
      <c r="D42" s="5">
        <f t="shared" si="4"/>
        <v>5.45740123750595</v>
      </c>
      <c r="E42" s="3">
        <f t="shared" si="5"/>
        <v>99.225477045562727</v>
      </c>
      <c r="F42" s="2"/>
      <c r="G42" s="9">
        <v>90</v>
      </c>
      <c r="H42" s="8">
        <v>251.6</v>
      </c>
      <c r="I42" s="5">
        <f t="shared" si="6"/>
        <v>5.9876249405045219E-3</v>
      </c>
      <c r="J42" s="5">
        <f t="shared" si="7"/>
        <v>5.3888624464540698</v>
      </c>
      <c r="K42" s="3">
        <f t="shared" si="8"/>
        <v>97.979317208255807</v>
      </c>
      <c r="L42" s="2"/>
      <c r="M42" s="7">
        <v>90</v>
      </c>
      <c r="N42" s="6">
        <v>253.5</v>
      </c>
      <c r="O42" s="5">
        <f t="shared" si="9"/>
        <v>6.0328415040456929E-3</v>
      </c>
      <c r="P42" s="5">
        <f t="shared" si="10"/>
        <v>5.4295573536411235</v>
      </c>
      <c r="Q42" s="3">
        <f t="shared" si="11"/>
        <v>98.719224611656784</v>
      </c>
      <c r="R42" s="1"/>
      <c r="S42" s="4">
        <f t="shared" si="1"/>
        <v>98.641339621825111</v>
      </c>
      <c r="T42" s="3">
        <f t="shared" si="2"/>
        <v>0.51171485468635258</v>
      </c>
    </row>
    <row r="43" spans="1:20">
      <c r="A43" s="7">
        <v>120</v>
      </c>
      <c r="B43" s="10">
        <v>254</v>
      </c>
      <c r="C43" s="5">
        <f t="shared" si="3"/>
        <v>6.0447405997144221E-3</v>
      </c>
      <c r="D43" s="5">
        <f t="shared" si="4"/>
        <v>5.4402665397429795</v>
      </c>
      <c r="E43" s="3">
        <f t="shared" si="5"/>
        <v>98.91393708623599</v>
      </c>
      <c r="F43" s="2"/>
      <c r="G43" s="9">
        <v>120</v>
      </c>
      <c r="H43" s="8">
        <v>251.1</v>
      </c>
      <c r="I43" s="5">
        <f t="shared" si="6"/>
        <v>5.9757258448357928E-3</v>
      </c>
      <c r="J43" s="5">
        <f t="shared" si="7"/>
        <v>5.3781532603522137</v>
      </c>
      <c r="K43" s="3">
        <f t="shared" si="8"/>
        <v>97.784604733676616</v>
      </c>
      <c r="L43" s="2"/>
      <c r="M43" s="7">
        <v>120</v>
      </c>
      <c r="N43" s="6">
        <v>253.4</v>
      </c>
      <c r="O43" s="5">
        <f t="shared" si="9"/>
        <v>6.0304616849119466E-3</v>
      </c>
      <c r="P43" s="5">
        <f t="shared" si="10"/>
        <v>5.4274155164207523</v>
      </c>
      <c r="Q43" s="3">
        <f t="shared" si="11"/>
        <v>98.680282116740941</v>
      </c>
      <c r="R43" s="1"/>
      <c r="S43" s="4">
        <f t="shared" si="1"/>
        <v>98.459607978884506</v>
      </c>
      <c r="T43" s="3">
        <f t="shared" si="2"/>
        <v>0.48673791508595232</v>
      </c>
    </row>
    <row r="44" spans="1:20">
      <c r="A44" s="7">
        <v>180</v>
      </c>
      <c r="B44" s="10">
        <v>252.2</v>
      </c>
      <c r="C44" s="5">
        <f t="shared" si="3"/>
        <v>6.0019038553069965E-3</v>
      </c>
      <c r="D44" s="5">
        <f t="shared" si="4"/>
        <v>5.401713469776297</v>
      </c>
      <c r="E44" s="3">
        <f t="shared" si="5"/>
        <v>98.212972177750856</v>
      </c>
      <c r="F44" s="2"/>
      <c r="G44" s="9">
        <v>180</v>
      </c>
      <c r="H44" s="8">
        <v>249.5</v>
      </c>
      <c r="I44" s="5">
        <f t="shared" si="6"/>
        <v>5.9376487386958591E-3</v>
      </c>
      <c r="J44" s="5">
        <f t="shared" si="7"/>
        <v>5.3438838648262728</v>
      </c>
      <c r="K44" s="3">
        <f t="shared" si="8"/>
        <v>97.161524815023142</v>
      </c>
      <c r="L44" s="2"/>
      <c r="M44" s="7">
        <v>180</v>
      </c>
      <c r="N44" s="6">
        <v>250.9</v>
      </c>
      <c r="O44" s="5">
        <f t="shared" si="9"/>
        <v>5.970966206568301E-3</v>
      </c>
      <c r="P44" s="5">
        <f t="shared" si="10"/>
        <v>5.3738695859114705</v>
      </c>
      <c r="Q44" s="3">
        <f t="shared" si="11"/>
        <v>97.706719743844914</v>
      </c>
      <c r="R44" s="1"/>
      <c r="S44" s="4">
        <f t="shared" si="1"/>
        <v>97.6937389122063</v>
      </c>
      <c r="T44" s="3">
        <f t="shared" si="2"/>
        <v>0.42934971421075752</v>
      </c>
    </row>
    <row r="45" spans="1:20">
      <c r="A45" s="6">
        <v>360</v>
      </c>
      <c r="B45" s="10">
        <v>251.5</v>
      </c>
      <c r="C45" s="5">
        <f t="shared" si="3"/>
        <v>5.9852451213707756E-3</v>
      </c>
      <c r="D45" s="5">
        <f t="shared" si="4"/>
        <v>5.3867206092336977</v>
      </c>
      <c r="E45" s="3">
        <f t="shared" si="5"/>
        <v>97.940374713339963</v>
      </c>
      <c r="F45" s="2"/>
      <c r="G45" s="22">
        <v>360</v>
      </c>
      <c r="H45" s="8">
        <v>249.9</v>
      </c>
      <c r="I45" s="5">
        <f t="shared" si="6"/>
        <v>5.9471680152308427E-3</v>
      </c>
      <c r="J45" s="5">
        <f t="shared" si="7"/>
        <v>5.3524512137077584</v>
      </c>
      <c r="K45" s="3">
        <f t="shared" si="8"/>
        <v>97.317294794686518</v>
      </c>
      <c r="L45" s="2"/>
      <c r="M45" s="6">
        <v>360</v>
      </c>
      <c r="N45" s="6">
        <v>251.4</v>
      </c>
      <c r="O45" s="5">
        <f t="shared" si="9"/>
        <v>5.9828653022370301E-3</v>
      </c>
      <c r="P45" s="5">
        <f t="shared" si="10"/>
        <v>5.3845787720133274</v>
      </c>
      <c r="Q45" s="3">
        <f t="shared" si="11"/>
        <v>97.901432218424134</v>
      </c>
      <c r="R45" s="1"/>
      <c r="S45" s="4">
        <f t="shared" si="1"/>
        <v>97.719700575483543</v>
      </c>
      <c r="T45" s="1">
        <f t="shared" si="2"/>
        <v>0.28498764744191057</v>
      </c>
    </row>
    <row r="46" spans="1:20">
      <c r="A46" s="6"/>
      <c r="B46" s="10"/>
      <c r="C46" s="5"/>
      <c r="D46" s="5"/>
      <c r="E46" s="1"/>
      <c r="F46" s="2"/>
      <c r="G46" s="22"/>
      <c r="H46" s="8"/>
      <c r="I46" s="5"/>
      <c r="J46" s="5"/>
      <c r="K46" s="1"/>
      <c r="L46" s="2"/>
      <c r="M46" s="6"/>
      <c r="N46" s="6"/>
      <c r="O46" s="5"/>
      <c r="P46" s="5"/>
      <c r="Q46" s="1"/>
      <c r="R46" s="1"/>
      <c r="S46" s="1"/>
      <c r="T46" s="1"/>
    </row>
    <row r="47" spans="1:20" ht="17" thickBo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14"/>
      <c r="T47" s="14"/>
    </row>
    <row r="48" spans="1:20">
      <c r="A48" s="42"/>
      <c r="B48" s="43"/>
      <c r="C48" s="18"/>
      <c r="D48" s="18"/>
      <c r="E48" s="17"/>
      <c r="F48" s="2"/>
      <c r="G48" s="42"/>
      <c r="H48" s="43"/>
      <c r="I48" s="18"/>
      <c r="J48" s="18"/>
      <c r="K48" s="17"/>
      <c r="L48" s="2"/>
      <c r="M48" s="42"/>
      <c r="N48" s="43"/>
      <c r="O48" s="18"/>
      <c r="P48" s="18"/>
      <c r="Q48" s="17"/>
      <c r="R48" s="6"/>
      <c r="S48" s="14"/>
      <c r="T48" s="14"/>
    </row>
    <row r="49" spans="1:20" ht="17" thickBot="1">
      <c r="A49" s="16"/>
      <c r="B49" s="15"/>
      <c r="C49" s="6"/>
      <c r="D49" s="6"/>
      <c r="E49" s="11"/>
      <c r="F49" s="2"/>
      <c r="G49" s="16"/>
      <c r="H49" s="15"/>
      <c r="I49" s="6"/>
      <c r="J49" s="6"/>
      <c r="K49" s="11"/>
      <c r="L49" s="2"/>
      <c r="M49" s="16"/>
      <c r="N49" s="15"/>
      <c r="O49" s="6"/>
      <c r="P49" s="6"/>
      <c r="Q49" s="11"/>
      <c r="R49" s="6"/>
      <c r="S49" s="14"/>
      <c r="T49" s="14"/>
    </row>
    <row r="50" spans="1:20">
      <c r="A50" s="7"/>
      <c r="B50" s="6"/>
      <c r="C50" s="6"/>
      <c r="D50" s="6"/>
      <c r="E50" s="11"/>
      <c r="F50" s="2"/>
      <c r="G50" s="7"/>
      <c r="H50" s="6"/>
      <c r="I50" s="6"/>
      <c r="J50" s="6"/>
      <c r="K50" s="11"/>
      <c r="L50" s="2"/>
      <c r="M50" s="7"/>
      <c r="N50" s="6"/>
      <c r="O50" s="6"/>
      <c r="P50" s="6"/>
      <c r="Q50" s="11"/>
      <c r="R50" s="6"/>
      <c r="S50" s="13" t="s">
        <v>1</v>
      </c>
      <c r="T50" s="12" t="s">
        <v>0</v>
      </c>
    </row>
    <row r="51" spans="1:20">
      <c r="A51" s="7"/>
      <c r="B51" s="6"/>
      <c r="C51" s="6"/>
      <c r="D51" s="6"/>
      <c r="E51" s="3"/>
      <c r="F51" s="2"/>
      <c r="G51" s="7"/>
      <c r="H51" s="6"/>
      <c r="I51" s="6"/>
      <c r="J51" s="6"/>
      <c r="K51" s="3"/>
      <c r="L51" s="2"/>
      <c r="M51" s="7"/>
      <c r="N51" s="6"/>
      <c r="O51" s="6"/>
      <c r="P51" s="6"/>
      <c r="Q51" s="3"/>
      <c r="R51" s="6"/>
      <c r="S51" s="4" t="e">
        <f>AVERAGE(E51,K51,Q51)</f>
        <v>#DIV/0!</v>
      </c>
      <c r="T51" s="3" t="e">
        <f>STDEVP(E51,K51,Q51)</f>
        <v>#DIV/0!</v>
      </c>
    </row>
    <row r="52" spans="1:20">
      <c r="A52" s="7"/>
      <c r="B52" s="6"/>
      <c r="C52" s="5"/>
      <c r="D52" s="5"/>
      <c r="E52" s="3"/>
      <c r="F52" s="2"/>
      <c r="G52" s="7"/>
      <c r="H52" s="6"/>
      <c r="I52" s="5"/>
      <c r="J52" s="5"/>
      <c r="K52" s="3"/>
      <c r="L52" s="2"/>
      <c r="M52" s="7"/>
      <c r="N52" s="6"/>
      <c r="O52" s="5"/>
      <c r="P52" s="5"/>
      <c r="Q52" s="3"/>
      <c r="R52" s="1"/>
      <c r="S52" s="4" t="e">
        <f>AVERAGE(E52,K52,Q52)</f>
        <v>#DIV/0!</v>
      </c>
      <c r="T52" s="3" t="e">
        <f>STDEVP(E52,K52,Q52)</f>
        <v>#DIV/0!</v>
      </c>
    </row>
    <row r="53" spans="1:20">
      <c r="A53" s="7"/>
      <c r="B53" s="6"/>
      <c r="C53" s="5"/>
      <c r="D53" s="5"/>
      <c r="E53" s="3"/>
      <c r="F53" s="2"/>
      <c r="G53" s="7"/>
      <c r="H53" s="6"/>
      <c r="I53" s="5"/>
      <c r="J53" s="5"/>
      <c r="K53" s="3"/>
      <c r="L53" s="2"/>
      <c r="M53" s="7"/>
      <c r="N53" s="6"/>
      <c r="O53" s="5"/>
      <c r="P53" s="5"/>
      <c r="Q53" s="3"/>
      <c r="R53" s="1"/>
      <c r="S53" s="4" t="e">
        <f t="shared" ref="S53:S61" si="12">AVERAGE(E53,K53,Q53)</f>
        <v>#DIV/0!</v>
      </c>
      <c r="T53" s="3" t="e">
        <f t="shared" ref="T53:T61" si="13">STDEVP(E53,K53,Q53)</f>
        <v>#DIV/0!</v>
      </c>
    </row>
    <row r="54" spans="1:20">
      <c r="A54" s="7"/>
      <c r="B54" s="6"/>
      <c r="C54" s="5"/>
      <c r="D54" s="5"/>
      <c r="E54" s="3"/>
      <c r="F54" s="2"/>
      <c r="G54" s="7"/>
      <c r="H54" s="6"/>
      <c r="I54" s="5"/>
      <c r="J54" s="5"/>
      <c r="K54" s="3"/>
      <c r="L54" s="2"/>
      <c r="M54" s="7"/>
      <c r="N54" s="6"/>
      <c r="O54" s="5"/>
      <c r="P54" s="5"/>
      <c r="Q54" s="3"/>
      <c r="R54" s="1"/>
      <c r="S54" s="4" t="e">
        <f t="shared" si="12"/>
        <v>#DIV/0!</v>
      </c>
      <c r="T54" s="3" t="e">
        <f t="shared" si="13"/>
        <v>#DIV/0!</v>
      </c>
    </row>
    <row r="55" spans="1:20">
      <c r="A55" s="7"/>
      <c r="B55" s="6"/>
      <c r="C55" s="5"/>
      <c r="D55" s="5"/>
      <c r="E55" s="3"/>
      <c r="F55" s="2"/>
      <c r="G55" s="7"/>
      <c r="H55" s="6"/>
      <c r="I55" s="5"/>
      <c r="J55" s="5"/>
      <c r="K55" s="3"/>
      <c r="L55" s="2"/>
      <c r="M55" s="7"/>
      <c r="N55" s="6"/>
      <c r="O55" s="5"/>
      <c r="P55" s="5"/>
      <c r="Q55" s="3"/>
      <c r="R55" s="1"/>
      <c r="S55" s="4" t="e">
        <f t="shared" si="12"/>
        <v>#DIV/0!</v>
      </c>
      <c r="T55" s="3" t="e">
        <f t="shared" si="13"/>
        <v>#DIV/0!</v>
      </c>
    </row>
    <row r="56" spans="1:20">
      <c r="A56" s="7"/>
      <c r="B56" s="6"/>
      <c r="C56" s="5"/>
      <c r="D56" s="5"/>
      <c r="E56" s="3"/>
      <c r="F56" s="2"/>
      <c r="G56" s="7"/>
      <c r="H56" s="6"/>
      <c r="I56" s="5"/>
      <c r="J56" s="5"/>
      <c r="K56" s="3"/>
      <c r="L56" s="2"/>
      <c r="M56" s="7"/>
      <c r="N56" s="6"/>
      <c r="O56" s="5"/>
      <c r="P56" s="5"/>
      <c r="Q56" s="3"/>
      <c r="R56" s="1"/>
      <c r="S56" s="4" t="e">
        <f t="shared" si="12"/>
        <v>#DIV/0!</v>
      </c>
      <c r="T56" s="3" t="e">
        <f t="shared" si="13"/>
        <v>#DIV/0!</v>
      </c>
    </row>
    <row r="57" spans="1:20">
      <c r="A57" s="7"/>
      <c r="B57" s="6"/>
      <c r="C57" s="5"/>
      <c r="D57" s="5"/>
      <c r="E57" s="3"/>
      <c r="F57" s="2"/>
      <c r="G57" s="7"/>
      <c r="H57" s="6"/>
      <c r="I57" s="5"/>
      <c r="J57" s="5"/>
      <c r="K57" s="3"/>
      <c r="L57" s="2"/>
      <c r="M57" s="7"/>
      <c r="N57" s="6"/>
      <c r="O57" s="5"/>
      <c r="P57" s="5"/>
      <c r="Q57" s="3"/>
      <c r="R57" s="1"/>
      <c r="S57" s="4" t="e">
        <f t="shared" si="12"/>
        <v>#DIV/0!</v>
      </c>
      <c r="T57" s="3" t="e">
        <f t="shared" si="13"/>
        <v>#DIV/0!</v>
      </c>
    </row>
    <row r="58" spans="1:20">
      <c r="A58" s="7"/>
      <c r="B58" s="6"/>
      <c r="C58" s="5"/>
      <c r="D58" s="5"/>
      <c r="E58" s="3"/>
      <c r="F58" s="2"/>
      <c r="G58" s="7"/>
      <c r="H58" s="6"/>
      <c r="I58" s="5"/>
      <c r="J58" s="5"/>
      <c r="K58" s="3"/>
      <c r="L58" s="2"/>
      <c r="M58" s="7"/>
      <c r="N58" s="6"/>
      <c r="O58" s="5"/>
      <c r="P58" s="5"/>
      <c r="Q58" s="3"/>
      <c r="R58" s="1"/>
      <c r="S58" s="4" t="e">
        <f t="shared" si="12"/>
        <v>#DIV/0!</v>
      </c>
      <c r="T58" s="3" t="e">
        <f t="shared" si="13"/>
        <v>#DIV/0!</v>
      </c>
    </row>
    <row r="59" spans="1:20">
      <c r="A59" s="7"/>
      <c r="B59" s="10"/>
      <c r="C59" s="5"/>
      <c r="D59" s="5"/>
      <c r="E59" s="3"/>
      <c r="F59" s="2"/>
      <c r="G59" s="9"/>
      <c r="H59" s="8"/>
      <c r="I59" s="5"/>
      <c r="J59" s="5"/>
      <c r="K59" s="3"/>
      <c r="L59" s="2"/>
      <c r="M59" s="7"/>
      <c r="N59" s="6"/>
      <c r="O59" s="5"/>
      <c r="P59" s="5"/>
      <c r="Q59" s="3"/>
      <c r="R59" s="1"/>
      <c r="S59" s="4" t="e">
        <f t="shared" si="12"/>
        <v>#DIV/0!</v>
      </c>
      <c r="T59" s="3" t="e">
        <f t="shared" si="13"/>
        <v>#DIV/0!</v>
      </c>
    </row>
    <row r="60" spans="1:20">
      <c r="A60" s="7"/>
      <c r="B60" s="10"/>
      <c r="C60" s="5"/>
      <c r="D60" s="5"/>
      <c r="E60" s="3"/>
      <c r="F60" s="2"/>
      <c r="G60" s="9"/>
      <c r="H60" s="8"/>
      <c r="I60" s="5"/>
      <c r="J60" s="5"/>
      <c r="K60" s="3"/>
      <c r="L60" s="2"/>
      <c r="M60" s="7"/>
      <c r="N60" s="6"/>
      <c r="O60" s="5"/>
      <c r="P60" s="5"/>
      <c r="Q60" s="3"/>
      <c r="R60" s="1"/>
      <c r="S60" s="4" t="e">
        <f t="shared" si="12"/>
        <v>#DIV/0!</v>
      </c>
      <c r="T60" s="3" t="e">
        <f t="shared" si="13"/>
        <v>#DIV/0!</v>
      </c>
    </row>
    <row r="61" spans="1:20">
      <c r="A61" s="9"/>
      <c r="B61" s="22"/>
      <c r="C61" s="5"/>
      <c r="D61" s="5"/>
      <c r="E61" s="3"/>
      <c r="G61" s="9"/>
      <c r="H61" s="22"/>
      <c r="I61" s="5"/>
      <c r="J61" s="5"/>
      <c r="K61" s="3"/>
      <c r="M61" s="9"/>
      <c r="N61" s="22"/>
      <c r="O61" s="5"/>
      <c r="P61" s="5"/>
      <c r="Q61" s="3"/>
      <c r="S61" s="25" t="e">
        <f t="shared" si="12"/>
        <v>#DIV/0!</v>
      </c>
      <c r="T61" s="24" t="e">
        <f t="shared" si="13"/>
        <v>#DIV/0!</v>
      </c>
    </row>
  </sheetData>
  <mergeCells count="6">
    <mergeCell ref="A32:B32"/>
    <mergeCell ref="G32:H32"/>
    <mergeCell ref="M32:N32"/>
    <mergeCell ref="A48:B48"/>
    <mergeCell ref="G48:H48"/>
    <mergeCell ref="M48:N48"/>
  </mergeCells>
  <pageMargins left="0.7" right="0.7" top="0.75" bottom="0.75" header="0.3" footer="0.3"/>
  <pageSetup paperSize="9" orientation="portrait" horizontalDpi="0" verticalDpi="0"/>
  <drawing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643BF1-BD0E-334B-9F8E-FA74AFAA997B}">
  <dimension ref="A1:V61"/>
  <sheetViews>
    <sheetView topLeftCell="E34" workbookViewId="0">
      <selection activeCell="V52" sqref="V52:V61"/>
    </sheetView>
  </sheetViews>
  <sheetFormatPr baseColWidth="10" defaultRowHeight="16"/>
  <cols>
    <col min="2" max="2" width="21" customWidth="1"/>
  </cols>
  <sheetData>
    <row r="1" spans="1:13">
      <c r="A1" t="s">
        <v>18</v>
      </c>
      <c r="C1">
        <v>39.6</v>
      </c>
    </row>
    <row r="2" spans="1:13">
      <c r="A2" t="s">
        <v>17</v>
      </c>
      <c r="B2" t="s">
        <v>16</v>
      </c>
      <c r="C2">
        <v>41.5</v>
      </c>
    </row>
    <row r="3" spans="1:13">
      <c r="A3" s="26">
        <v>5.0000000000000001E-4</v>
      </c>
      <c r="B3" s="27">
        <f>AVERAGE(C1:C3)</f>
        <v>40.299999999999997</v>
      </c>
      <c r="C3">
        <v>39.799999999999997</v>
      </c>
      <c r="L3" s="26"/>
      <c r="M3" s="27"/>
    </row>
    <row r="4" spans="1:13">
      <c r="A4" s="26">
        <v>1E-3</v>
      </c>
      <c r="B4" s="28">
        <v>103.1</v>
      </c>
      <c r="L4" s="26"/>
      <c r="M4" s="28"/>
    </row>
    <row r="5" spans="1:13">
      <c r="A5" s="26">
        <v>0.01</v>
      </c>
      <c r="B5" s="28">
        <v>457</v>
      </c>
      <c r="L5" s="26"/>
      <c r="M5" s="28"/>
    </row>
    <row r="6" spans="1:13">
      <c r="A6" s="26">
        <v>0.1</v>
      </c>
      <c r="B6" s="28">
        <v>4619.8999999999996</v>
      </c>
      <c r="L6" s="26"/>
      <c r="M6" s="28"/>
    </row>
    <row r="7" spans="1:13">
      <c r="A7" s="26">
        <v>0.5</v>
      </c>
      <c r="B7" s="28">
        <v>20925.599999999999</v>
      </c>
      <c r="L7" s="26"/>
      <c r="M7" s="28"/>
    </row>
    <row r="9" spans="1:13">
      <c r="A9" t="s">
        <v>0</v>
      </c>
      <c r="B9" t="s">
        <v>15</v>
      </c>
    </row>
    <row r="10" spans="1:13">
      <c r="A10">
        <f>STDEV(C1:C3)</f>
        <v>1.0440306508910551</v>
      </c>
      <c r="B10">
        <f>3*A10/26064</f>
        <v>1.2016927381342715E-4</v>
      </c>
    </row>
    <row r="16" spans="1:13">
      <c r="A16" t="s">
        <v>26</v>
      </c>
      <c r="B16" t="s">
        <v>27</v>
      </c>
    </row>
    <row r="17" spans="1:20">
      <c r="A17" t="s">
        <v>22</v>
      </c>
      <c r="B17" t="s">
        <v>36</v>
      </c>
    </row>
    <row r="18" spans="1:20">
      <c r="A18" t="s">
        <v>23</v>
      </c>
      <c r="B18" t="s">
        <v>35</v>
      </c>
    </row>
    <row r="19" spans="1:20">
      <c r="A19" t="s">
        <v>24</v>
      </c>
      <c r="B19" t="s">
        <v>28</v>
      </c>
    </row>
    <row r="20" spans="1:20">
      <c r="A20" t="s">
        <v>25</v>
      </c>
      <c r="B20" t="s">
        <v>29</v>
      </c>
    </row>
    <row r="21" spans="1:20">
      <c r="A21" t="s">
        <v>30</v>
      </c>
      <c r="B21" t="s">
        <v>44</v>
      </c>
    </row>
    <row r="24" spans="1:20">
      <c r="A24" t="s">
        <v>42</v>
      </c>
      <c r="B24" t="s">
        <v>34</v>
      </c>
    </row>
    <row r="25" spans="1:20">
      <c r="A25" t="s">
        <v>16</v>
      </c>
      <c r="B25" t="s">
        <v>21</v>
      </c>
    </row>
    <row r="26" spans="1:20">
      <c r="A26">
        <v>29124.9</v>
      </c>
      <c r="B26">
        <f>A26/42833</f>
        <v>0.67996404641281261</v>
      </c>
    </row>
    <row r="27" spans="1:20">
      <c r="A27">
        <v>28720.400000000001</v>
      </c>
      <c r="B27">
        <f t="shared" ref="B27:B28" si="0">A27/42833</f>
        <v>0.6705203931548106</v>
      </c>
    </row>
    <row r="28" spans="1:20">
      <c r="A28">
        <v>28830.2</v>
      </c>
      <c r="B28">
        <f t="shared" si="0"/>
        <v>0.67308383722830534</v>
      </c>
    </row>
    <row r="29" spans="1:20">
      <c r="B29">
        <f>AVERAGE(B26:B28)</f>
        <v>0.67452275893197611</v>
      </c>
    </row>
    <row r="31" spans="1:20" ht="17" thickBot="1"/>
    <row r="32" spans="1:20">
      <c r="A32" s="42"/>
      <c r="B32" s="43"/>
      <c r="C32" s="18"/>
      <c r="D32" s="18"/>
      <c r="E32" s="17"/>
      <c r="F32" s="2"/>
      <c r="G32" s="42"/>
      <c r="H32" s="43"/>
      <c r="I32" s="18"/>
      <c r="J32" s="18"/>
      <c r="K32" s="17"/>
      <c r="L32" s="2"/>
      <c r="M32" s="42"/>
      <c r="N32" s="43"/>
      <c r="O32" s="18"/>
      <c r="P32" s="18"/>
      <c r="Q32" s="17"/>
      <c r="R32" s="6"/>
      <c r="S32" s="2"/>
      <c r="T32" s="2"/>
    </row>
    <row r="33" spans="1:20" ht="17" thickBot="1">
      <c r="A33" s="16"/>
      <c r="B33" s="15"/>
      <c r="C33" s="6"/>
      <c r="D33" s="6"/>
      <c r="E33" s="11"/>
      <c r="F33" s="2"/>
      <c r="G33" s="16"/>
      <c r="H33" s="15"/>
      <c r="I33" s="6"/>
      <c r="J33" s="6"/>
      <c r="K33" s="11"/>
      <c r="L33" s="2"/>
      <c r="M33" s="16"/>
      <c r="N33" s="15"/>
      <c r="O33" s="6"/>
      <c r="P33" s="6"/>
      <c r="Q33" s="11"/>
      <c r="R33" s="6"/>
      <c r="S33" s="2"/>
      <c r="T33" s="2"/>
    </row>
    <row r="34" spans="1:20">
      <c r="A34" s="7"/>
      <c r="B34" s="6"/>
      <c r="C34" s="6"/>
      <c r="D34" s="6"/>
      <c r="E34" s="11"/>
      <c r="F34" s="2"/>
      <c r="G34" s="7"/>
      <c r="H34" s="6"/>
      <c r="I34" s="6"/>
      <c r="J34" s="6"/>
      <c r="K34" s="11"/>
      <c r="L34" s="2"/>
      <c r="M34" s="7"/>
      <c r="N34" s="6"/>
      <c r="O34" s="6"/>
      <c r="P34" s="6"/>
      <c r="Q34" s="11"/>
      <c r="R34" s="6"/>
      <c r="S34" s="13" t="s">
        <v>1</v>
      </c>
      <c r="T34" s="12" t="s">
        <v>0</v>
      </c>
    </row>
    <row r="35" spans="1:20">
      <c r="A35" s="7"/>
      <c r="B35" s="10"/>
      <c r="C35" s="5"/>
      <c r="D35" s="5"/>
      <c r="E35" s="3"/>
      <c r="F35" s="2"/>
      <c r="G35" s="7"/>
      <c r="H35" s="10"/>
      <c r="I35" s="5"/>
      <c r="J35" s="5"/>
      <c r="K35" s="3"/>
      <c r="L35" s="2"/>
      <c r="M35" s="7"/>
      <c r="N35" s="10"/>
      <c r="O35" s="5"/>
      <c r="P35" s="5"/>
      <c r="Q35" s="3"/>
      <c r="R35" s="1"/>
      <c r="S35" s="4" t="e">
        <f t="shared" ref="S35:S45" si="1">AVERAGE(E35,K35,Q35)</f>
        <v>#DIV/0!</v>
      </c>
      <c r="T35" s="3" t="e">
        <f t="shared" ref="T35:T45" si="2">STDEVP(E35,K35,Q35)</f>
        <v>#DIV/0!</v>
      </c>
    </row>
    <row r="36" spans="1:20">
      <c r="A36" s="7"/>
      <c r="B36" s="10"/>
      <c r="C36" s="5"/>
      <c r="D36" s="5"/>
      <c r="E36" s="3"/>
      <c r="F36" s="2"/>
      <c r="G36" s="7"/>
      <c r="H36" s="10"/>
      <c r="I36" s="5"/>
      <c r="J36" s="5"/>
      <c r="K36" s="3"/>
      <c r="L36" s="2"/>
      <c r="M36" s="7"/>
      <c r="N36" s="10"/>
      <c r="O36" s="5"/>
      <c r="P36" s="5"/>
      <c r="Q36" s="3"/>
      <c r="R36" s="1"/>
      <c r="S36" s="4" t="e">
        <f t="shared" si="1"/>
        <v>#DIV/0!</v>
      </c>
      <c r="T36" s="3" t="e">
        <f t="shared" si="2"/>
        <v>#DIV/0!</v>
      </c>
    </row>
    <row r="37" spans="1:20">
      <c r="A37" s="7"/>
      <c r="B37" s="10"/>
      <c r="C37" s="5"/>
      <c r="D37" s="5"/>
      <c r="E37" s="3"/>
      <c r="F37" s="2"/>
      <c r="G37" s="7"/>
      <c r="H37" s="6"/>
      <c r="I37" s="5"/>
      <c r="J37" s="5"/>
      <c r="K37" s="3"/>
      <c r="L37" s="2"/>
      <c r="M37" s="7"/>
      <c r="N37" s="6"/>
      <c r="O37" s="5"/>
      <c r="P37" s="5"/>
      <c r="Q37" s="3"/>
      <c r="R37" s="1"/>
      <c r="S37" s="4" t="e">
        <f t="shared" si="1"/>
        <v>#DIV/0!</v>
      </c>
      <c r="T37" s="3" t="e">
        <f t="shared" si="2"/>
        <v>#DIV/0!</v>
      </c>
    </row>
    <row r="38" spans="1:20">
      <c r="A38" s="7"/>
      <c r="B38" s="6"/>
      <c r="C38" s="5"/>
      <c r="D38" s="5"/>
      <c r="E38" s="3"/>
      <c r="F38" s="2"/>
      <c r="G38" s="7"/>
      <c r="H38" s="6"/>
      <c r="I38" s="5"/>
      <c r="J38" s="5"/>
      <c r="K38" s="3"/>
      <c r="L38" s="2"/>
      <c r="M38" s="7"/>
      <c r="N38" s="6"/>
      <c r="O38" s="5"/>
      <c r="P38" s="5"/>
      <c r="Q38" s="3"/>
      <c r="R38" s="1"/>
      <c r="S38" s="4" t="e">
        <f t="shared" si="1"/>
        <v>#DIV/0!</v>
      </c>
      <c r="T38" s="3" t="e">
        <f t="shared" si="2"/>
        <v>#DIV/0!</v>
      </c>
    </row>
    <row r="39" spans="1:20">
      <c r="A39" s="7"/>
      <c r="B39" s="6"/>
      <c r="C39" s="5"/>
      <c r="D39" s="5"/>
      <c r="E39" s="3"/>
      <c r="F39" s="2"/>
      <c r="G39" s="7"/>
      <c r="H39" s="6"/>
      <c r="I39" s="5"/>
      <c r="J39" s="5"/>
      <c r="K39" s="3"/>
      <c r="L39" s="2"/>
      <c r="M39" s="7"/>
      <c r="N39" s="6"/>
      <c r="O39" s="5"/>
      <c r="P39" s="5"/>
      <c r="Q39" s="3"/>
      <c r="R39" s="1"/>
      <c r="S39" s="4" t="e">
        <f t="shared" si="1"/>
        <v>#DIV/0!</v>
      </c>
      <c r="T39" s="3" t="e">
        <f t="shared" si="2"/>
        <v>#DIV/0!</v>
      </c>
    </row>
    <row r="40" spans="1:20">
      <c r="A40" s="7"/>
      <c r="B40" s="6"/>
      <c r="C40" s="5"/>
      <c r="D40" s="5"/>
      <c r="E40" s="3"/>
      <c r="F40" s="2"/>
      <c r="G40" s="7"/>
      <c r="H40" s="6"/>
      <c r="I40" s="5"/>
      <c r="J40" s="5"/>
      <c r="K40" s="3"/>
      <c r="L40" s="2"/>
      <c r="M40" s="7"/>
      <c r="N40" s="6"/>
      <c r="O40" s="5"/>
      <c r="P40" s="5"/>
      <c r="Q40" s="3"/>
      <c r="R40" s="1"/>
      <c r="S40" s="4" t="e">
        <f t="shared" si="1"/>
        <v>#DIV/0!</v>
      </c>
      <c r="T40" s="3" t="e">
        <f t="shared" si="2"/>
        <v>#DIV/0!</v>
      </c>
    </row>
    <row r="41" spans="1:20">
      <c r="A41" s="7"/>
      <c r="B41" s="6"/>
      <c r="C41" s="5"/>
      <c r="D41" s="5"/>
      <c r="E41" s="3"/>
      <c r="F41" s="2"/>
      <c r="G41" s="7"/>
      <c r="H41" s="6"/>
      <c r="I41" s="5"/>
      <c r="J41" s="5"/>
      <c r="K41" s="3"/>
      <c r="L41" s="2"/>
      <c r="M41" s="7"/>
      <c r="N41" s="10"/>
      <c r="O41" s="5"/>
      <c r="P41" s="5"/>
      <c r="Q41" s="3"/>
      <c r="R41" s="1"/>
      <c r="S41" s="4" t="e">
        <f t="shared" si="1"/>
        <v>#DIV/0!</v>
      </c>
      <c r="T41" s="3"/>
    </row>
    <row r="42" spans="1:20">
      <c r="A42" s="7"/>
      <c r="B42" s="10"/>
      <c r="C42" s="5"/>
      <c r="D42" s="5"/>
      <c r="E42" s="3"/>
      <c r="F42" s="2"/>
      <c r="G42" s="9"/>
      <c r="H42" s="8"/>
      <c r="I42" s="5"/>
      <c r="J42" s="5"/>
      <c r="K42" s="3"/>
      <c r="L42" s="2"/>
      <c r="M42" s="7"/>
      <c r="N42" s="6"/>
      <c r="O42" s="5"/>
      <c r="P42" s="5"/>
      <c r="Q42" s="3"/>
      <c r="R42" s="1"/>
      <c r="S42" s="4" t="e">
        <f t="shared" si="1"/>
        <v>#DIV/0!</v>
      </c>
      <c r="T42" s="3" t="e">
        <f t="shared" si="2"/>
        <v>#DIV/0!</v>
      </c>
    </row>
    <row r="43" spans="1:20">
      <c r="A43" s="7"/>
      <c r="B43" s="10"/>
      <c r="C43" s="5"/>
      <c r="D43" s="5"/>
      <c r="E43" s="3"/>
      <c r="F43" s="2"/>
      <c r="G43" s="9"/>
      <c r="H43" s="8"/>
      <c r="I43" s="5"/>
      <c r="J43" s="5"/>
      <c r="K43" s="3"/>
      <c r="L43" s="2"/>
      <c r="M43" s="7"/>
      <c r="N43" s="6"/>
      <c r="O43" s="5"/>
      <c r="P43" s="5"/>
      <c r="Q43" s="3"/>
      <c r="R43" s="1"/>
      <c r="S43" s="4" t="e">
        <f t="shared" si="1"/>
        <v>#DIV/0!</v>
      </c>
      <c r="T43" s="3" t="e">
        <f t="shared" si="2"/>
        <v>#DIV/0!</v>
      </c>
    </row>
    <row r="44" spans="1:20">
      <c r="A44" s="7"/>
      <c r="B44" s="10"/>
      <c r="C44" s="5"/>
      <c r="D44" s="5"/>
      <c r="E44" s="3"/>
      <c r="F44" s="2"/>
      <c r="G44" s="9"/>
      <c r="H44" s="8"/>
      <c r="I44" s="5"/>
      <c r="J44" s="5"/>
      <c r="K44" s="3"/>
      <c r="L44" s="2"/>
      <c r="M44" s="7"/>
      <c r="N44" s="6"/>
      <c r="O44" s="5"/>
      <c r="P44" s="5"/>
      <c r="Q44" s="3"/>
      <c r="R44" s="1"/>
      <c r="S44" s="4" t="e">
        <f t="shared" si="1"/>
        <v>#DIV/0!</v>
      </c>
      <c r="T44" s="3" t="e">
        <f t="shared" si="2"/>
        <v>#DIV/0!</v>
      </c>
    </row>
    <row r="45" spans="1:20">
      <c r="A45" s="6"/>
      <c r="B45" s="10"/>
      <c r="C45" s="5"/>
      <c r="D45" s="5"/>
      <c r="E45" s="3"/>
      <c r="F45" s="2"/>
      <c r="G45" s="22"/>
      <c r="H45" s="8"/>
      <c r="I45" s="5"/>
      <c r="J45" s="5"/>
      <c r="K45" s="3"/>
      <c r="L45" s="2"/>
      <c r="M45" s="6"/>
      <c r="N45" s="6"/>
      <c r="O45" s="5"/>
      <c r="P45" s="5"/>
      <c r="Q45" s="3"/>
      <c r="R45" s="1"/>
      <c r="S45" s="4" t="e">
        <f t="shared" si="1"/>
        <v>#DIV/0!</v>
      </c>
      <c r="T45" s="1" t="e">
        <f t="shared" si="2"/>
        <v>#DIV/0!</v>
      </c>
    </row>
    <row r="46" spans="1:20">
      <c r="A46" s="6"/>
      <c r="B46" s="10"/>
      <c r="C46" s="5"/>
      <c r="D46" s="5"/>
      <c r="E46" s="1"/>
      <c r="F46" s="2"/>
      <c r="G46" s="22"/>
      <c r="H46" s="8"/>
      <c r="I46" s="5"/>
      <c r="J46" s="5"/>
      <c r="K46" s="1"/>
      <c r="L46" s="2"/>
      <c r="M46" s="6"/>
      <c r="N46" s="6"/>
      <c r="O46" s="5"/>
      <c r="P46" s="5"/>
      <c r="Q46" s="1"/>
      <c r="R46" s="1"/>
      <c r="S46" s="1"/>
      <c r="T46" s="1"/>
    </row>
    <row r="47" spans="1:20" ht="17" thickBo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14"/>
      <c r="T47" s="14"/>
    </row>
    <row r="48" spans="1:20">
      <c r="A48" s="42" t="s">
        <v>46</v>
      </c>
      <c r="B48" s="43"/>
      <c r="C48" s="18">
        <v>5</v>
      </c>
      <c r="D48" s="18"/>
      <c r="E48" s="17"/>
      <c r="F48" s="2"/>
      <c r="G48" s="42" t="s">
        <v>46</v>
      </c>
      <c r="H48" s="43"/>
      <c r="I48" s="18">
        <v>5</v>
      </c>
      <c r="J48" s="18"/>
      <c r="K48" s="17"/>
      <c r="L48" s="2"/>
      <c r="M48" s="42" t="s">
        <v>46</v>
      </c>
      <c r="N48" s="43"/>
      <c r="O48" s="18">
        <v>5</v>
      </c>
      <c r="P48" s="18"/>
      <c r="Q48" s="17"/>
      <c r="R48" s="6"/>
      <c r="S48" s="14"/>
      <c r="T48" s="14"/>
    </row>
    <row r="49" spans="1:22" ht="17" thickBot="1">
      <c r="A49" s="16" t="s">
        <v>9</v>
      </c>
      <c r="B49" s="15"/>
      <c r="C49" s="6"/>
      <c r="D49" s="6"/>
      <c r="E49" s="11"/>
      <c r="F49" s="2"/>
      <c r="G49" s="16" t="s">
        <v>8</v>
      </c>
      <c r="H49" s="15"/>
      <c r="I49" s="6"/>
      <c r="J49" s="6"/>
      <c r="K49" s="11"/>
      <c r="L49" s="2"/>
      <c r="M49" s="16" t="s">
        <v>7</v>
      </c>
      <c r="N49" s="15"/>
      <c r="O49" s="6"/>
      <c r="P49" s="6"/>
      <c r="Q49" s="11"/>
      <c r="R49" s="6"/>
      <c r="S49" s="14"/>
      <c r="T49" s="14"/>
    </row>
    <row r="50" spans="1:22">
      <c r="A50" s="7" t="s">
        <v>6</v>
      </c>
      <c r="B50" s="6" t="s">
        <v>5</v>
      </c>
      <c r="C50" s="6" t="s">
        <v>4</v>
      </c>
      <c r="D50" s="6" t="s">
        <v>3</v>
      </c>
      <c r="E50" s="11" t="s">
        <v>2</v>
      </c>
      <c r="F50" s="2"/>
      <c r="G50" s="7" t="s">
        <v>6</v>
      </c>
      <c r="H50" s="6" t="s">
        <v>5</v>
      </c>
      <c r="I50" s="6" t="s">
        <v>4</v>
      </c>
      <c r="J50" s="6" t="s">
        <v>3</v>
      </c>
      <c r="K50" s="11" t="s">
        <v>2</v>
      </c>
      <c r="L50" s="2"/>
      <c r="M50" s="7" t="s">
        <v>6</v>
      </c>
      <c r="N50" s="6" t="s">
        <v>5</v>
      </c>
      <c r="O50" s="6" t="s">
        <v>4</v>
      </c>
      <c r="P50" s="6" t="s">
        <v>3</v>
      </c>
      <c r="Q50" s="11" t="s">
        <v>2</v>
      </c>
      <c r="R50" s="6"/>
      <c r="S50" s="13" t="s">
        <v>1</v>
      </c>
      <c r="T50" s="12" t="s">
        <v>0</v>
      </c>
      <c r="V50" s="22" t="s">
        <v>76</v>
      </c>
    </row>
    <row r="51" spans="1:22">
      <c r="A51" s="7">
        <v>0</v>
      </c>
      <c r="B51" s="6">
        <v>0</v>
      </c>
      <c r="C51" s="6">
        <v>0</v>
      </c>
      <c r="D51" s="6">
        <v>0</v>
      </c>
      <c r="E51" s="3">
        <v>14</v>
      </c>
      <c r="F51" s="2"/>
      <c r="G51" s="7">
        <v>0</v>
      </c>
      <c r="H51" s="6">
        <v>0</v>
      </c>
      <c r="I51" s="6">
        <f>H51/25144</f>
        <v>0</v>
      </c>
      <c r="J51" s="6">
        <f>I51*900</f>
        <v>0</v>
      </c>
      <c r="K51" s="3">
        <v>14</v>
      </c>
      <c r="L51" s="2"/>
      <c r="M51" s="7">
        <v>0</v>
      </c>
      <c r="N51" s="6">
        <v>0</v>
      </c>
      <c r="O51" s="6">
        <f>N51/25144</f>
        <v>0</v>
      </c>
      <c r="P51" s="6">
        <f>O51*900</f>
        <v>0</v>
      </c>
      <c r="Q51" s="3">
        <v>14</v>
      </c>
      <c r="R51" s="6"/>
      <c r="S51" s="4">
        <f>AVERAGE(E51,K51,Q51)</f>
        <v>14</v>
      </c>
      <c r="T51" s="3">
        <f>STDEVP(E51,K51,Q51)</f>
        <v>0</v>
      </c>
    </row>
    <row r="52" spans="1:22">
      <c r="A52" s="7">
        <v>5</v>
      </c>
      <c r="B52" s="6">
        <v>54.4</v>
      </c>
      <c r="C52" s="5">
        <f>B52/42020</f>
        <v>1.2946216087577345E-3</v>
      </c>
      <c r="D52" s="5">
        <f>C52*1.8*900</f>
        <v>2.0972870061875302</v>
      </c>
      <c r="E52" s="3">
        <f>D52/5*100</f>
        <v>41.945740123750603</v>
      </c>
      <c r="F52" s="2"/>
      <c r="G52" s="7">
        <v>5</v>
      </c>
      <c r="H52" s="6">
        <v>53.2</v>
      </c>
      <c r="I52" s="5">
        <f>H52/42020</f>
        <v>1.2660637791527844E-3</v>
      </c>
      <c r="J52" s="5">
        <f>I52*1.8*900</f>
        <v>2.0510233222275112</v>
      </c>
      <c r="K52" s="3">
        <f>J52/5*100</f>
        <v>41.020466444550223</v>
      </c>
      <c r="L52" s="2"/>
      <c r="M52" s="7">
        <v>5</v>
      </c>
      <c r="N52" s="6">
        <v>57.8</v>
      </c>
      <c r="O52" s="5">
        <f>N52/42020</f>
        <v>1.3755354593050927E-3</v>
      </c>
      <c r="P52" s="5">
        <f>O52*1.8*900</f>
        <v>2.2283674440742502</v>
      </c>
      <c r="Q52" s="3">
        <f>P52/5*100</f>
        <v>44.567348881485003</v>
      </c>
      <c r="R52" s="1"/>
      <c r="S52" s="4">
        <f>AVERAGE(E52,K52,Q52)</f>
        <v>42.511185149928615</v>
      </c>
      <c r="T52" s="3">
        <f>STDEVP(E52,K52,Q52)</f>
        <v>1.5021961286909655</v>
      </c>
      <c r="V52">
        <f>T52/S52</f>
        <v>3.533649140556807E-2</v>
      </c>
    </row>
    <row r="53" spans="1:22">
      <c r="A53" s="7">
        <v>15</v>
      </c>
      <c r="B53" s="6">
        <v>94.8</v>
      </c>
      <c r="C53" s="5">
        <f t="shared" ref="C53:C61" si="3">B53/42020</f>
        <v>2.2560685387910517E-3</v>
      </c>
      <c r="D53" s="5">
        <f t="shared" ref="D53:D61" si="4">C53*1.8*900</f>
        <v>3.6548310328415039</v>
      </c>
      <c r="E53" s="3">
        <f t="shared" ref="E53:E61" si="5">D53/5*100</f>
        <v>73.096620656830083</v>
      </c>
      <c r="F53" s="2"/>
      <c r="G53" s="7">
        <v>15</v>
      </c>
      <c r="H53" s="6">
        <v>85.4</v>
      </c>
      <c r="I53" s="5">
        <f t="shared" ref="I53:I61" si="6">H53/42020</f>
        <v>2.0323655402189433E-3</v>
      </c>
      <c r="J53" s="5">
        <f t="shared" ref="J53:J61" si="7">I53*1.8*900</f>
        <v>3.2924321751546883</v>
      </c>
      <c r="K53" s="3">
        <f t="shared" ref="K53:K61" si="8">J53/5*100</f>
        <v>65.848643503093768</v>
      </c>
      <c r="L53" s="2"/>
      <c r="M53" s="7">
        <v>15</v>
      </c>
      <c r="N53" s="6">
        <v>95.5</v>
      </c>
      <c r="O53" s="5">
        <f t="shared" ref="O53:O61" si="9">N53/42020</f>
        <v>2.2727272727272726E-3</v>
      </c>
      <c r="P53" s="5">
        <f t="shared" ref="P53:P61" si="10">O53*1.8*900</f>
        <v>3.6818181818181821</v>
      </c>
      <c r="Q53" s="3">
        <f t="shared" ref="Q53:Q61" si="11">P53/5*100</f>
        <v>73.63636363636364</v>
      </c>
      <c r="R53" s="1"/>
      <c r="S53" s="4">
        <f t="shared" ref="S53:S61" si="12">AVERAGE(E53,K53,Q53)</f>
        <v>70.860542598762493</v>
      </c>
      <c r="T53" s="3">
        <f t="shared" ref="T53:T61" si="13">STDEVP(E53,K53,Q53)</f>
        <v>3.5507914638723119</v>
      </c>
      <c r="V53">
        <f t="shared" ref="V53:V61" si="14">T53/S53</f>
        <v>5.0109572036135142E-2</v>
      </c>
    </row>
    <row r="54" spans="1:22">
      <c r="A54" s="7">
        <v>30</v>
      </c>
      <c r="B54" s="6">
        <v>111.9</v>
      </c>
      <c r="C54" s="5">
        <f t="shared" si="3"/>
        <v>2.66301761066159E-3</v>
      </c>
      <c r="D54" s="5">
        <f t="shared" si="4"/>
        <v>4.3140885292717757</v>
      </c>
      <c r="E54" s="3">
        <f t="shared" si="5"/>
        <v>86.28177058543551</v>
      </c>
      <c r="F54" s="2"/>
      <c r="G54" s="7">
        <v>30</v>
      </c>
      <c r="H54" s="6">
        <v>106.2</v>
      </c>
      <c r="I54" s="5">
        <f t="shared" si="6"/>
        <v>2.5273679200380774E-3</v>
      </c>
      <c r="J54" s="5">
        <f t="shared" si="7"/>
        <v>4.0943360304616858</v>
      </c>
      <c r="K54" s="3">
        <f t="shared" si="8"/>
        <v>81.88672060923372</v>
      </c>
      <c r="L54" s="2"/>
      <c r="M54" s="7">
        <v>30</v>
      </c>
      <c r="N54" s="6">
        <v>114.3</v>
      </c>
      <c r="O54" s="5">
        <f t="shared" si="9"/>
        <v>2.7201332698714898E-3</v>
      </c>
      <c r="P54" s="5">
        <f t="shared" si="10"/>
        <v>4.4066158971918137</v>
      </c>
      <c r="Q54" s="3">
        <f t="shared" si="11"/>
        <v>88.13231794383627</v>
      </c>
      <c r="R54" s="1"/>
      <c r="S54" s="4">
        <f t="shared" si="12"/>
        <v>85.4336030461685</v>
      </c>
      <c r="T54" s="3">
        <f t="shared" si="13"/>
        <v>2.6193399483455511</v>
      </c>
      <c r="V54">
        <f t="shared" si="14"/>
        <v>3.065936417231583E-2</v>
      </c>
    </row>
    <row r="55" spans="1:22">
      <c r="A55" s="7">
        <v>45</v>
      </c>
      <c r="B55" s="6">
        <v>129.30000000000001</v>
      </c>
      <c r="C55" s="5">
        <f t="shared" si="3"/>
        <v>3.0771061399333653E-3</v>
      </c>
      <c r="D55" s="5">
        <f t="shared" si="4"/>
        <v>4.9849119466920522</v>
      </c>
      <c r="E55" s="3">
        <f t="shared" si="5"/>
        <v>99.69823893384104</v>
      </c>
      <c r="F55" s="2"/>
      <c r="G55" s="7">
        <v>45</v>
      </c>
      <c r="H55" s="6">
        <v>126.8</v>
      </c>
      <c r="I55" s="5">
        <f t="shared" si="6"/>
        <v>3.0176106615897192E-3</v>
      </c>
      <c r="J55" s="5">
        <f t="shared" si="7"/>
        <v>4.8885292717753455</v>
      </c>
      <c r="K55" s="3">
        <f t="shared" si="8"/>
        <v>97.770585435506902</v>
      </c>
      <c r="L55" s="2"/>
      <c r="M55" s="7">
        <v>45</v>
      </c>
      <c r="N55" s="6">
        <v>127.8</v>
      </c>
      <c r="O55" s="5">
        <f t="shared" si="9"/>
        <v>3.0414088529271775E-3</v>
      </c>
      <c r="P55" s="5">
        <f t="shared" si="10"/>
        <v>4.927082341742028</v>
      </c>
      <c r="Q55" s="3">
        <f t="shared" si="11"/>
        <v>98.541646834840563</v>
      </c>
      <c r="R55" s="1"/>
      <c r="S55" s="4">
        <f t="shared" si="12"/>
        <v>98.670157068062835</v>
      </c>
      <c r="T55" s="3">
        <f t="shared" si="13"/>
        <v>0.79219028120020585</v>
      </c>
      <c r="V55">
        <f t="shared" si="14"/>
        <v>8.0286715329109248E-3</v>
      </c>
    </row>
    <row r="56" spans="1:22">
      <c r="A56" s="7">
        <v>60</v>
      </c>
      <c r="B56" s="6">
        <v>132.30000000000001</v>
      </c>
      <c r="C56" s="5">
        <f t="shared" si="3"/>
        <v>3.1485007139457405E-3</v>
      </c>
      <c r="D56" s="5">
        <f t="shared" si="4"/>
        <v>5.1005711565920997</v>
      </c>
      <c r="E56" s="3">
        <f t="shared" si="5"/>
        <v>102.01142313184199</v>
      </c>
      <c r="F56" s="2"/>
      <c r="G56" s="7">
        <v>60</v>
      </c>
      <c r="H56" s="6">
        <v>128.19999999999999</v>
      </c>
      <c r="I56" s="5">
        <f t="shared" si="6"/>
        <v>3.0509281294621607E-3</v>
      </c>
      <c r="J56" s="5">
        <f t="shared" si="7"/>
        <v>4.942503569728701</v>
      </c>
      <c r="K56" s="3">
        <f t="shared" si="8"/>
        <v>98.85007139457403</v>
      </c>
      <c r="L56" s="2"/>
      <c r="M56" s="7">
        <v>60</v>
      </c>
      <c r="N56" s="6">
        <v>125.5</v>
      </c>
      <c r="O56" s="5">
        <f t="shared" si="9"/>
        <v>2.9866730128510232E-3</v>
      </c>
      <c r="P56" s="5">
        <f t="shared" si="10"/>
        <v>4.8384102808186578</v>
      </c>
      <c r="Q56" s="3">
        <f t="shared" si="11"/>
        <v>96.768205616373166</v>
      </c>
      <c r="R56" s="1"/>
      <c r="S56" s="4">
        <f t="shared" si="12"/>
        <v>99.209900047596406</v>
      </c>
      <c r="T56" s="3">
        <f t="shared" si="13"/>
        <v>2.1556035463077303</v>
      </c>
      <c r="V56">
        <f t="shared" si="14"/>
        <v>2.1727706058302342E-2</v>
      </c>
    </row>
    <row r="57" spans="1:22">
      <c r="A57" s="7">
        <v>75</v>
      </c>
      <c r="B57" s="6">
        <v>131.9</v>
      </c>
      <c r="C57" s="5">
        <f t="shared" si="3"/>
        <v>3.1389814374107568E-3</v>
      </c>
      <c r="D57" s="5">
        <f t="shared" si="4"/>
        <v>5.0851499286054267</v>
      </c>
      <c r="E57" s="3">
        <f t="shared" si="5"/>
        <v>101.70299857210854</v>
      </c>
      <c r="F57" s="2"/>
      <c r="G57" s="7">
        <v>75</v>
      </c>
      <c r="H57" s="6">
        <v>127.8</v>
      </c>
      <c r="I57" s="5">
        <f t="shared" si="6"/>
        <v>3.0414088529271775E-3</v>
      </c>
      <c r="J57" s="5">
        <f t="shared" si="7"/>
        <v>4.927082341742028</v>
      </c>
      <c r="K57" s="3">
        <f t="shared" si="8"/>
        <v>98.541646834840563</v>
      </c>
      <c r="L57" s="2"/>
      <c r="M57" s="7">
        <v>75</v>
      </c>
      <c r="N57" s="6">
        <v>124.3</v>
      </c>
      <c r="O57" s="5">
        <f t="shared" si="9"/>
        <v>2.9581151832460731E-3</v>
      </c>
      <c r="P57" s="5">
        <f t="shared" si="10"/>
        <v>4.7921465968586388</v>
      </c>
      <c r="Q57" s="3">
        <f t="shared" si="11"/>
        <v>95.842931937172764</v>
      </c>
      <c r="R57" s="1"/>
      <c r="S57" s="4">
        <f t="shared" si="12"/>
        <v>98.695859114707289</v>
      </c>
      <c r="T57" s="3">
        <f t="shared" si="13"/>
        <v>2.3948460370718543</v>
      </c>
      <c r="V57">
        <f t="shared" si="14"/>
        <v>2.4264908969367116E-2</v>
      </c>
    </row>
    <row r="58" spans="1:22">
      <c r="A58" s="7">
        <v>90</v>
      </c>
      <c r="B58" s="6">
        <v>132.30000000000001</v>
      </c>
      <c r="C58" s="5">
        <f t="shared" si="3"/>
        <v>3.1485007139457405E-3</v>
      </c>
      <c r="D58" s="5">
        <f t="shared" si="4"/>
        <v>5.1005711565920997</v>
      </c>
      <c r="E58" s="3">
        <f t="shared" si="5"/>
        <v>102.01142313184199</v>
      </c>
      <c r="F58" s="2"/>
      <c r="G58" s="7">
        <v>90</v>
      </c>
      <c r="H58" s="6">
        <v>129.19999999999999</v>
      </c>
      <c r="I58" s="5">
        <f t="shared" si="6"/>
        <v>3.0747263207996189E-3</v>
      </c>
      <c r="J58" s="5">
        <f t="shared" si="7"/>
        <v>4.9810566396953826</v>
      </c>
      <c r="K58" s="3">
        <f t="shared" si="8"/>
        <v>99.621132793907648</v>
      </c>
      <c r="L58" s="2"/>
      <c r="M58" s="7">
        <v>90</v>
      </c>
      <c r="N58" s="6">
        <v>123.4</v>
      </c>
      <c r="O58" s="5">
        <f t="shared" si="9"/>
        <v>2.9366968110423608E-3</v>
      </c>
      <c r="P58" s="5">
        <f t="shared" si="10"/>
        <v>4.7574488338886249</v>
      </c>
      <c r="Q58" s="3">
        <f t="shared" si="11"/>
        <v>95.148976677772495</v>
      </c>
      <c r="R58" s="1"/>
      <c r="S58" s="4">
        <f t="shared" si="12"/>
        <v>98.927177534507379</v>
      </c>
      <c r="T58" s="3">
        <f t="shared" si="13"/>
        <v>2.8442307993878568</v>
      </c>
      <c r="V58">
        <f t="shared" si="14"/>
        <v>2.875075252597542E-2</v>
      </c>
    </row>
    <row r="59" spans="1:22">
      <c r="A59" s="7">
        <v>120</v>
      </c>
      <c r="B59" s="10">
        <v>131.4</v>
      </c>
      <c r="C59" s="5">
        <f t="shared" si="3"/>
        <v>3.1270823417420277E-3</v>
      </c>
      <c r="D59" s="5">
        <f t="shared" si="4"/>
        <v>5.065873393622085</v>
      </c>
      <c r="E59" s="3">
        <f t="shared" si="5"/>
        <v>101.3174678724417</v>
      </c>
      <c r="F59" s="2"/>
      <c r="G59" s="9">
        <v>120</v>
      </c>
      <c r="H59" s="8">
        <v>129.5</v>
      </c>
      <c r="I59" s="5">
        <f t="shared" si="6"/>
        <v>3.0818657782008567E-3</v>
      </c>
      <c r="J59" s="5">
        <f t="shared" si="7"/>
        <v>4.9926225606853887</v>
      </c>
      <c r="K59" s="3">
        <f t="shared" si="8"/>
        <v>99.852451213707766</v>
      </c>
      <c r="L59" s="2"/>
      <c r="M59" s="7">
        <v>120</v>
      </c>
      <c r="N59" s="6">
        <v>126.6</v>
      </c>
      <c r="O59" s="5">
        <f t="shared" si="9"/>
        <v>3.0128510233222274E-3</v>
      </c>
      <c r="P59" s="5">
        <f t="shared" si="10"/>
        <v>4.8808186577820081</v>
      </c>
      <c r="Q59" s="3">
        <f t="shared" si="11"/>
        <v>97.616373155640161</v>
      </c>
      <c r="R59" s="1"/>
      <c r="S59" s="4">
        <f t="shared" si="12"/>
        <v>99.595430747263208</v>
      </c>
      <c r="T59" s="3">
        <f t="shared" si="13"/>
        <v>1.5218563589276075</v>
      </c>
      <c r="V59">
        <f t="shared" si="14"/>
        <v>1.528038332189679E-2</v>
      </c>
    </row>
    <row r="60" spans="1:22">
      <c r="A60" s="7">
        <v>180</v>
      </c>
      <c r="B60" s="10">
        <v>131.5</v>
      </c>
      <c r="C60" s="5">
        <f t="shared" si="3"/>
        <v>3.1294621608757736E-3</v>
      </c>
      <c r="D60" s="5">
        <f t="shared" si="4"/>
        <v>5.0697287006187537</v>
      </c>
      <c r="E60" s="3">
        <f t="shared" si="5"/>
        <v>101.39457401237509</v>
      </c>
      <c r="F60" s="2"/>
      <c r="G60" s="9">
        <v>180</v>
      </c>
      <c r="H60" s="8">
        <v>127.6</v>
      </c>
      <c r="I60" s="5">
        <f t="shared" si="6"/>
        <v>3.0366492146596856E-3</v>
      </c>
      <c r="J60" s="5">
        <f t="shared" si="7"/>
        <v>4.9193717277486906</v>
      </c>
      <c r="K60" s="3">
        <f t="shared" si="8"/>
        <v>98.387434554973808</v>
      </c>
      <c r="L60" s="2"/>
      <c r="M60" s="7">
        <v>180</v>
      </c>
      <c r="N60" s="6">
        <v>129.9</v>
      </c>
      <c r="O60" s="5">
        <f t="shared" si="9"/>
        <v>3.0913850547358403E-3</v>
      </c>
      <c r="P60" s="5">
        <f t="shared" si="10"/>
        <v>5.0080437886720617</v>
      </c>
      <c r="Q60" s="3">
        <f t="shared" si="11"/>
        <v>100.16087577344123</v>
      </c>
      <c r="R60" s="1"/>
      <c r="S60" s="4">
        <f t="shared" si="12"/>
        <v>99.980961446930039</v>
      </c>
      <c r="T60" s="3">
        <f t="shared" si="13"/>
        <v>1.234233582087253</v>
      </c>
      <c r="V60">
        <f t="shared" si="14"/>
        <v>1.2344686070481378E-2</v>
      </c>
    </row>
    <row r="61" spans="1:22">
      <c r="A61" s="9">
        <v>360</v>
      </c>
      <c r="B61" s="22">
        <v>130.6</v>
      </c>
      <c r="C61" s="5">
        <f t="shared" si="3"/>
        <v>3.1080437886720608E-3</v>
      </c>
      <c r="D61" s="5">
        <f t="shared" si="4"/>
        <v>5.035030937648739</v>
      </c>
      <c r="E61" s="3">
        <f t="shared" si="5"/>
        <v>100.70061875297478</v>
      </c>
      <c r="G61" s="9">
        <v>360</v>
      </c>
      <c r="H61" s="22">
        <v>128.80000000000001</v>
      </c>
      <c r="I61" s="5">
        <f t="shared" si="6"/>
        <v>3.0652070442646361E-3</v>
      </c>
      <c r="J61" s="5">
        <f t="shared" si="7"/>
        <v>4.9656354117087105</v>
      </c>
      <c r="K61" s="3">
        <f t="shared" si="8"/>
        <v>99.31270823417421</v>
      </c>
      <c r="M61" s="9">
        <v>360</v>
      </c>
      <c r="N61" s="22">
        <v>127.5</v>
      </c>
      <c r="O61" s="5">
        <f t="shared" si="9"/>
        <v>3.0342693955259402E-3</v>
      </c>
      <c r="P61" s="5">
        <f t="shared" si="10"/>
        <v>4.9155164207520228</v>
      </c>
      <c r="Q61" s="3">
        <f t="shared" si="11"/>
        <v>98.310328415040459</v>
      </c>
      <c r="S61" s="25">
        <f t="shared" si="12"/>
        <v>99.441218467396482</v>
      </c>
      <c r="T61" s="24">
        <f t="shared" si="13"/>
        <v>0.98005378591778325</v>
      </c>
      <c r="V61">
        <f t="shared" si="14"/>
        <v>9.8556091832192379E-3</v>
      </c>
    </row>
  </sheetData>
  <mergeCells count="6">
    <mergeCell ref="A32:B32"/>
    <mergeCell ref="G32:H32"/>
    <mergeCell ref="M32:N32"/>
    <mergeCell ref="A48:B48"/>
    <mergeCell ref="G48:H48"/>
    <mergeCell ref="M48:N48"/>
  </mergeCells>
  <pageMargins left="0.7" right="0.7" top="0.75" bottom="0.75" header="0.3" footer="0.3"/>
  <pageSetup paperSize="9" orientation="portrait" horizontalDpi="0" verticalDpi="0"/>
  <drawing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A3F5AD-89DF-5446-81D1-7818A8744B64}">
  <dimension ref="A1:H24"/>
  <sheetViews>
    <sheetView workbookViewId="0">
      <selection activeCell="G13" sqref="G13"/>
    </sheetView>
  </sheetViews>
  <sheetFormatPr baseColWidth="10" defaultRowHeight="16"/>
  <sheetData>
    <row r="1" spans="1:8">
      <c r="B1" t="s">
        <v>47</v>
      </c>
      <c r="C1" t="s">
        <v>33</v>
      </c>
      <c r="F1" t="s">
        <v>77</v>
      </c>
      <c r="G1" t="s">
        <v>47</v>
      </c>
      <c r="H1" t="s">
        <v>33</v>
      </c>
    </row>
    <row r="2" spans="1:8">
      <c r="A2" t="s">
        <v>48</v>
      </c>
      <c r="B2">
        <v>27.14</v>
      </c>
      <c r="C2">
        <v>27.56</v>
      </c>
      <c r="G2" s="27">
        <v>0.12488829999999999</v>
      </c>
      <c r="H2">
        <v>0.29457756740586399</v>
      </c>
    </row>
    <row r="3" spans="1:8">
      <c r="B3">
        <v>32.229999999999997</v>
      </c>
      <c r="C3">
        <v>23.91</v>
      </c>
      <c r="G3" s="27">
        <v>0.10702478999999999</v>
      </c>
      <c r="H3">
        <v>0.19930366195587174</v>
      </c>
    </row>
    <row r="4" spans="1:8">
      <c r="B4">
        <v>25.06</v>
      </c>
      <c r="C4">
        <v>16.670000000000002</v>
      </c>
      <c r="G4" s="27">
        <v>0.11732903</v>
      </c>
      <c r="H4">
        <v>0.11871701196171788</v>
      </c>
    </row>
    <row r="5" spans="1:8">
      <c r="G5" s="27">
        <v>5.8062509999999998E-2</v>
      </c>
      <c r="H5">
        <v>9.1752420694841338E-2</v>
      </c>
    </row>
    <row r="6" spans="1:8">
      <c r="A6" t="s">
        <v>20</v>
      </c>
      <c r="B6">
        <f>_xlfn.T.TEST(B2:B4,C2:C4,2,2)</f>
        <v>0.23064277898824473</v>
      </c>
      <c r="G6" s="27">
        <v>5.2784350000000001E-2</v>
      </c>
      <c r="H6">
        <v>7.8627893624395262E-2</v>
      </c>
    </row>
    <row r="7" spans="1:8">
      <c r="G7" s="27">
        <v>1.749757E-2</v>
      </c>
      <c r="H7">
        <v>6.7774244483033957E-2</v>
      </c>
    </row>
    <row r="8" spans="1:8">
      <c r="A8" t="s">
        <v>49</v>
      </c>
      <c r="B8">
        <v>57.37</v>
      </c>
      <c r="C8">
        <v>57.96</v>
      </c>
      <c r="G8" s="27">
        <v>2.422179E-2</v>
      </c>
      <c r="H8">
        <v>6.1693708351238302E-2</v>
      </c>
    </row>
    <row r="9" spans="1:8">
      <c r="B9">
        <v>65.849999999999994</v>
      </c>
      <c r="C9">
        <v>60.06</v>
      </c>
      <c r="G9" s="27">
        <v>1.528038E-2</v>
      </c>
      <c r="H9">
        <v>5.0079521767386954E-2</v>
      </c>
    </row>
    <row r="10" spans="1:8">
      <c r="B10">
        <v>59.99</v>
      </c>
      <c r="C10">
        <v>48.38</v>
      </c>
      <c r="G10" s="27">
        <v>1.234469E-2</v>
      </c>
      <c r="H10">
        <v>1.5653218150810368E-2</v>
      </c>
    </row>
    <row r="11" spans="1:8">
      <c r="G11" s="27">
        <v>9.8556100000000008E-3</v>
      </c>
      <c r="H11">
        <v>1.6931147172066573E-2</v>
      </c>
    </row>
    <row r="12" spans="1:8">
      <c r="A12" t="s">
        <v>20</v>
      </c>
      <c r="B12">
        <f>_xlfn.T.TEST(B8:B10,C8:C10,2,2)</f>
        <v>0.27019894768727515</v>
      </c>
    </row>
    <row r="13" spans="1:8">
      <c r="F13" t="s">
        <v>20</v>
      </c>
      <c r="G13">
        <f>_xlfn.T.TEST(G2:G11,H2:H11,1,2)</f>
        <v>7.9797599744683007E-2</v>
      </c>
    </row>
    <row r="14" spans="1:8">
      <c r="A14" s="27" t="s">
        <v>50</v>
      </c>
      <c r="B14" s="27">
        <v>94.3</v>
      </c>
      <c r="C14" s="27">
        <v>84.25</v>
      </c>
    </row>
    <row r="15" spans="1:8">
      <c r="A15" s="27"/>
      <c r="B15" s="27">
        <v>99.62</v>
      </c>
      <c r="C15" s="27">
        <v>86.73</v>
      </c>
    </row>
    <row r="16" spans="1:8">
      <c r="A16" s="27"/>
      <c r="B16" s="27">
        <v>95.15</v>
      </c>
      <c r="C16" s="27">
        <v>74.98</v>
      </c>
    </row>
    <row r="17" spans="1:3">
      <c r="A17" s="27"/>
      <c r="B17" s="27"/>
      <c r="C17" s="27"/>
    </row>
    <row r="18" spans="1:3">
      <c r="A18" s="27" t="s">
        <v>20</v>
      </c>
      <c r="B18" s="27">
        <v>0.23064277999999999</v>
      </c>
      <c r="C18" s="27"/>
    </row>
    <row r="20" spans="1:3">
      <c r="A20" s="27" t="s">
        <v>51</v>
      </c>
      <c r="B20" s="27">
        <v>100.07</v>
      </c>
      <c r="C20" s="27">
        <v>97.68</v>
      </c>
    </row>
    <row r="21" spans="1:3">
      <c r="A21" s="27"/>
      <c r="B21" s="27">
        <v>99.31</v>
      </c>
      <c r="C21" s="27">
        <v>97.98</v>
      </c>
    </row>
    <row r="22" spans="1:3">
      <c r="A22" s="27"/>
      <c r="B22" s="27">
        <v>98.31</v>
      </c>
      <c r="C22" s="27">
        <v>101.38</v>
      </c>
    </row>
    <row r="23" spans="1:3">
      <c r="A23" s="27"/>
      <c r="B23" s="27"/>
      <c r="C23" s="27"/>
    </row>
    <row r="24" spans="1:3">
      <c r="A24" s="27" t="s">
        <v>20</v>
      </c>
      <c r="B24" s="27">
        <v>0.23064277999999999</v>
      </c>
      <c r="C24" s="27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A91B80-EC88-E748-A47D-69702B2772D3}">
  <dimension ref="A1:M54"/>
  <sheetViews>
    <sheetView workbookViewId="0">
      <selection activeCell="F27" sqref="F27:H29"/>
    </sheetView>
  </sheetViews>
  <sheetFormatPr baseColWidth="10" defaultRowHeight="16"/>
  <cols>
    <col min="3" max="3" width="12.6640625" customWidth="1"/>
  </cols>
  <sheetData>
    <row r="1" spans="1:13" ht="21">
      <c r="A1" s="37" t="s">
        <v>71</v>
      </c>
      <c r="B1" s="34" t="s">
        <v>70</v>
      </c>
      <c r="E1" s="35" t="s">
        <v>69</v>
      </c>
    </row>
    <row r="2" spans="1:13">
      <c r="A2" t="s">
        <v>59</v>
      </c>
      <c r="B2" t="s">
        <v>64</v>
      </c>
      <c r="C2" t="s">
        <v>63</v>
      </c>
      <c r="D2" t="s">
        <v>68</v>
      </c>
    </row>
    <row r="3" spans="1:13">
      <c r="A3" s="38">
        <v>0</v>
      </c>
      <c r="B3" s="4">
        <v>0</v>
      </c>
      <c r="C3">
        <f t="shared" ref="C3:C13" si="0">$G$3*(A3^$G$4)</f>
        <v>0</v>
      </c>
      <c r="D3" s="36">
        <f t="shared" ref="D3:D13" si="1">(B3-C3)^2</f>
        <v>0</v>
      </c>
      <c r="F3" t="s">
        <v>56</v>
      </c>
      <c r="G3">
        <v>2.5016114159807046</v>
      </c>
    </row>
    <row r="4" spans="1:13">
      <c r="A4" s="38">
        <v>5</v>
      </c>
      <c r="B4" s="4">
        <v>8.85053631741083</v>
      </c>
      <c r="C4">
        <f t="shared" si="0"/>
        <v>9.300981869737436</v>
      </c>
      <c r="D4" s="36">
        <f t="shared" si="1"/>
        <v>0.20290119561082112</v>
      </c>
      <c r="F4" t="s">
        <v>62</v>
      </c>
      <c r="G4">
        <v>0.81592764232118797</v>
      </c>
    </row>
    <row r="5" spans="1:13" ht="17" thickBot="1">
      <c r="A5" s="38">
        <v>15</v>
      </c>
      <c r="B5" s="4">
        <v>22.713691868017666</v>
      </c>
      <c r="C5">
        <f t="shared" si="0"/>
        <v>22.794245334554212</v>
      </c>
      <c r="D5" s="36">
        <f t="shared" si="1"/>
        <v>6.4888609710544972E-3</v>
      </c>
      <c r="F5" t="s">
        <v>55</v>
      </c>
      <c r="G5" s="29">
        <v>0.9998047970334446</v>
      </c>
    </row>
    <row r="6" spans="1:13">
      <c r="A6" s="38">
        <v>30</v>
      </c>
      <c r="B6" s="4">
        <v>40.817095349441416</v>
      </c>
      <c r="C6">
        <f t="shared" si="0"/>
        <v>40.127667191822077</v>
      </c>
      <c r="D6" s="36">
        <f t="shared" si="1"/>
        <v>0.47531118451839655</v>
      </c>
    </row>
    <row r="7" spans="1:13">
      <c r="A7" s="38">
        <v>45</v>
      </c>
      <c r="B7" s="4">
        <v>55.47544816835542</v>
      </c>
      <c r="C7">
        <f t="shared" si="0"/>
        <v>55.862663496033008</v>
      </c>
      <c r="D7" s="36">
        <f t="shared" si="1"/>
        <v>0.14993570998846154</v>
      </c>
      <c r="F7" t="s">
        <v>54</v>
      </c>
      <c r="G7" s="36">
        <f>SUM(D3:D7)</f>
        <v>0.8346369510887337</v>
      </c>
    </row>
    <row r="8" spans="1:13" ht="17" thickBot="1">
      <c r="A8" s="9">
        <v>60</v>
      </c>
      <c r="B8" s="4">
        <v>66.6212003117693</v>
      </c>
      <c r="C8">
        <f t="shared" si="0"/>
        <v>70.641938376290852</v>
      </c>
      <c r="D8" s="36">
        <f t="shared" si="1"/>
        <v>16.166334583492517</v>
      </c>
    </row>
    <row r="9" spans="1:13">
      <c r="A9" s="9">
        <v>75</v>
      </c>
      <c r="B9" s="4">
        <v>76.027539620680685</v>
      </c>
      <c r="C9">
        <f t="shared" si="0"/>
        <v>84.748918731617707</v>
      </c>
      <c r="D9" s="36">
        <f t="shared" si="1"/>
        <v>76.062453596688641</v>
      </c>
      <c r="F9" s="31"/>
      <c r="G9" s="31" t="s">
        <v>53</v>
      </c>
      <c r="H9" s="31" t="s">
        <v>52</v>
      </c>
      <c r="K9" t="s">
        <v>27</v>
      </c>
      <c r="L9" t="s">
        <v>74</v>
      </c>
      <c r="M9" t="s">
        <v>75</v>
      </c>
    </row>
    <row r="10" spans="1:13">
      <c r="A10" s="9">
        <v>90</v>
      </c>
      <c r="B10" s="4">
        <v>81.988828267082368</v>
      </c>
      <c r="C10">
        <f t="shared" si="0"/>
        <v>98.342293693725466</v>
      </c>
      <c r="D10" s="36">
        <f t="shared" si="1"/>
        <v>267.43583146041112</v>
      </c>
      <c r="F10" s="30" t="s">
        <v>53</v>
      </c>
      <c r="G10" s="30">
        <v>1</v>
      </c>
      <c r="H10" s="30"/>
      <c r="I10" s="40"/>
      <c r="K10" s="36">
        <v>55.862663496033008</v>
      </c>
      <c r="L10">
        <v>1</v>
      </c>
      <c r="M10" s="40">
        <v>1</v>
      </c>
    </row>
    <row r="11" spans="1:13" ht="17" thickBot="1">
      <c r="A11" s="9">
        <v>120</v>
      </c>
      <c r="B11" s="4">
        <v>91.631592621460115</v>
      </c>
      <c r="C11">
        <f t="shared" si="0"/>
        <v>124.36016860149505</v>
      </c>
      <c r="D11" s="36">
        <f t="shared" si="1"/>
        <v>1071.1596856809194</v>
      </c>
      <c r="F11" s="29" t="s">
        <v>52</v>
      </c>
      <c r="G11" s="29">
        <v>0.9998047970334446</v>
      </c>
      <c r="H11" s="29">
        <v>1</v>
      </c>
      <c r="I11" s="40"/>
      <c r="K11" s="36">
        <v>40.127667191822077</v>
      </c>
      <c r="L11">
        <v>2</v>
      </c>
      <c r="M11" s="40">
        <v>0.75</v>
      </c>
    </row>
    <row r="12" spans="1:13">
      <c r="A12" s="9">
        <v>180</v>
      </c>
      <c r="B12" s="4">
        <v>98.96076903091712</v>
      </c>
      <c r="C12">
        <f t="shared" si="0"/>
        <v>173.12469767270818</v>
      </c>
      <c r="D12" s="36">
        <f t="shared" si="1"/>
        <v>5500.2883115846762</v>
      </c>
      <c r="G12" s="36"/>
      <c r="I12" s="40"/>
      <c r="K12" s="36">
        <v>22.794245334554212</v>
      </c>
      <c r="L12">
        <v>3</v>
      </c>
      <c r="M12" s="40">
        <v>0.5</v>
      </c>
    </row>
    <row r="13" spans="1:13">
      <c r="A13" s="6">
        <v>360</v>
      </c>
      <c r="B13" s="4">
        <v>99.011431540659899</v>
      </c>
      <c r="C13">
        <f t="shared" si="0"/>
        <v>304.7738650230296</v>
      </c>
      <c r="D13" s="36">
        <f t="shared" si="1"/>
        <v>42338.179032586624</v>
      </c>
      <c r="G13" s="36"/>
      <c r="I13" s="40"/>
      <c r="K13" s="36">
        <v>9.300981869737436</v>
      </c>
      <c r="L13">
        <v>4</v>
      </c>
      <c r="M13" s="40">
        <v>0.25</v>
      </c>
    </row>
    <row r="14" spans="1:13">
      <c r="G14" s="36"/>
      <c r="I14" s="40"/>
      <c r="K14" s="36">
        <v>0</v>
      </c>
      <c r="L14">
        <v>5</v>
      </c>
      <c r="M14" s="40">
        <v>0</v>
      </c>
    </row>
    <row r="18" spans="1:8">
      <c r="B18" s="34" t="s">
        <v>67</v>
      </c>
      <c r="E18" s="35" t="s">
        <v>66</v>
      </c>
      <c r="F18" s="33" t="s">
        <v>65</v>
      </c>
    </row>
    <row r="19" spans="1:8">
      <c r="A19" t="s">
        <v>59</v>
      </c>
      <c r="B19" t="s">
        <v>64</v>
      </c>
      <c r="C19" t="s">
        <v>63</v>
      </c>
      <c r="D19" t="s">
        <v>0</v>
      </c>
    </row>
    <row r="20" spans="1:8">
      <c r="A20">
        <v>0</v>
      </c>
      <c r="B20" s="4">
        <v>0</v>
      </c>
      <c r="C20">
        <f>1- (1-$G$20*A20)^$G$21</f>
        <v>0</v>
      </c>
      <c r="D20">
        <f t="shared" ref="D20:D30" si="2">(B20-C20)^2</f>
        <v>0</v>
      </c>
      <c r="F20" s="33" t="s">
        <v>56</v>
      </c>
      <c r="G20">
        <v>1.5945791913606643E-2</v>
      </c>
    </row>
    <row r="21" spans="1:8">
      <c r="A21">
        <v>5</v>
      </c>
      <c r="B21" s="4">
        <v>8.85053631741083</v>
      </c>
      <c r="C21">
        <f>1- (1-$G$20*A21)^$G$21</f>
        <v>0.22062357135759114</v>
      </c>
      <c r="D21">
        <f t="shared" si="2"/>
        <v>74.475394004492173</v>
      </c>
      <c r="F21" t="s">
        <v>62</v>
      </c>
      <c r="G21">
        <v>3</v>
      </c>
    </row>
    <row r="22" spans="1:8">
      <c r="A22">
        <v>15</v>
      </c>
      <c r="B22" s="4">
        <v>22.713691868017666</v>
      </c>
      <c r="C22">
        <f t="shared" ref="C22:C30" si="3">1- (1-$G$20*A22)^$G$21</f>
        <v>0.55961351542182403</v>
      </c>
      <c r="D22">
        <f t="shared" si="2"/>
        <v>490.80318765295573</v>
      </c>
      <c r="F22" s="33"/>
    </row>
    <row r="23" spans="1:8">
      <c r="A23">
        <v>30</v>
      </c>
      <c r="B23" s="4">
        <v>40.817095349441416</v>
      </c>
      <c r="C23">
        <f t="shared" si="3"/>
        <v>0.85806866203131527</v>
      </c>
      <c r="D23">
        <f t="shared" si="2"/>
        <v>1596.7238138051528</v>
      </c>
      <c r="F23" t="s">
        <v>55</v>
      </c>
    </row>
    <row r="24" spans="1:8">
      <c r="A24">
        <v>45</v>
      </c>
      <c r="B24" s="4">
        <v>55.47544816835542</v>
      </c>
      <c r="C24">
        <f t="shared" si="3"/>
        <v>0.97746924868139884</v>
      </c>
      <c r="D24">
        <f t="shared" si="2"/>
        <v>2970.0297063292337</v>
      </c>
    </row>
    <row r="25" spans="1:8">
      <c r="A25">
        <v>60</v>
      </c>
      <c r="B25" s="4">
        <v>66.6212003117693</v>
      </c>
      <c r="C25">
        <f t="shared" si="3"/>
        <v>0.99991908422499987</v>
      </c>
      <c r="D25">
        <f t="shared" si="2"/>
        <v>4306.1525499444579</v>
      </c>
      <c r="F25" t="s">
        <v>54</v>
      </c>
      <c r="G25">
        <f>SUM(D20:D30)</f>
        <v>38118.521389358539</v>
      </c>
    </row>
    <row r="26" spans="1:8" ht="17" thickBot="1">
      <c r="A26">
        <v>75</v>
      </c>
      <c r="B26" s="4">
        <v>76.027539620680685</v>
      </c>
      <c r="C26">
        <f t="shared" si="3"/>
        <v>1.0075219775150435</v>
      </c>
      <c r="D26">
        <f t="shared" si="2"/>
        <v>5628.003047180885</v>
      </c>
    </row>
    <row r="27" spans="1:8">
      <c r="A27">
        <v>90</v>
      </c>
      <c r="B27" s="4">
        <v>81.988828267082368</v>
      </c>
      <c r="C27">
        <f t="shared" si="3"/>
        <v>1.0823817374044551</v>
      </c>
      <c r="D27">
        <f t="shared" si="2"/>
        <v>6545.8530900596306</v>
      </c>
      <c r="F27" s="31"/>
      <c r="G27" s="31" t="s">
        <v>53</v>
      </c>
      <c r="H27" s="31" t="s">
        <v>52</v>
      </c>
    </row>
    <row r="28" spans="1:8">
      <c r="A28">
        <v>120</v>
      </c>
      <c r="B28" s="4">
        <v>91.631592621460115</v>
      </c>
      <c r="C28">
        <f t="shared" si="3"/>
        <v>1.7622870923930822</v>
      </c>
      <c r="D28">
        <f t="shared" si="2"/>
        <v>8076.4920762767988</v>
      </c>
      <c r="F28" s="30" t="s">
        <v>53</v>
      </c>
      <c r="G28" s="30">
        <v>1</v>
      </c>
      <c r="H28" s="30"/>
    </row>
    <row r="29" spans="1:8" ht="17" thickBot="1">
      <c r="A29">
        <v>180</v>
      </c>
      <c r="B29" s="4">
        <v>98.96076903091712</v>
      </c>
      <c r="C29">
        <f t="shared" si="3"/>
        <v>7.541747791091459</v>
      </c>
      <c r="D29">
        <f t="shared" si="2"/>
        <v>8357.4374444476962</v>
      </c>
      <c r="F29" s="29" t="s">
        <v>52</v>
      </c>
      <c r="G29" s="29">
        <v>0.41349155482064615</v>
      </c>
      <c r="H29" s="29">
        <v>1</v>
      </c>
    </row>
    <row r="30" spans="1:8">
      <c r="A30">
        <v>360</v>
      </c>
      <c r="B30" s="4">
        <v>99.011431540659899</v>
      </c>
      <c r="C30">
        <f t="shared" si="3"/>
        <v>107.52912369624046</v>
      </c>
      <c r="D30">
        <f t="shared" si="2"/>
        <v>72.551079657238645</v>
      </c>
    </row>
    <row r="34" spans="1:8">
      <c r="B34" s="34" t="s">
        <v>61</v>
      </c>
      <c r="D34" s="33" t="s">
        <v>60</v>
      </c>
    </row>
    <row r="35" spans="1:8">
      <c r="A35" t="s">
        <v>59</v>
      </c>
      <c r="B35" t="s">
        <v>58</v>
      </c>
      <c r="C35" t="s">
        <v>57</v>
      </c>
      <c r="D35" t="s">
        <v>0</v>
      </c>
    </row>
    <row r="36" spans="1:8">
      <c r="A36" s="32">
        <v>0</v>
      </c>
      <c r="B36">
        <f t="shared" ref="B36:B46" si="4">3/2*(1-(1-B20/100)^(2/3))-B20/100</f>
        <v>0</v>
      </c>
      <c r="C36">
        <f t="shared" ref="C36:C46" si="5">$G$36*A36</f>
        <v>0</v>
      </c>
      <c r="D36">
        <f t="shared" ref="D36:D46" si="6">(B36-C36)^2</f>
        <v>0</v>
      </c>
      <c r="F36" t="s">
        <v>56</v>
      </c>
      <c r="G36">
        <v>2.3167949507149287E-3</v>
      </c>
    </row>
    <row r="37" spans="1:8" ht="17" thickBot="1">
      <c r="A37" s="32">
        <v>5</v>
      </c>
      <c r="B37">
        <f t="shared" si="4"/>
        <v>1.3597057807555463E-3</v>
      </c>
      <c r="C37">
        <f t="shared" si="5"/>
        <v>1.1583974753574644E-2</v>
      </c>
      <c r="D37">
        <f t="shared" si="6"/>
        <v>1.0453567602855128E-4</v>
      </c>
      <c r="F37" t="s">
        <v>55</v>
      </c>
      <c r="G37" s="29">
        <v>0.99462071786604089</v>
      </c>
    </row>
    <row r="38" spans="1:8">
      <c r="A38" s="32">
        <v>15</v>
      </c>
      <c r="B38">
        <f t="shared" si="4"/>
        <v>9.6024346638012847E-3</v>
      </c>
      <c r="C38">
        <f t="shared" si="5"/>
        <v>3.4751924260723932E-2</v>
      </c>
      <c r="D38">
        <f t="shared" si="6"/>
        <v>6.3249682698572043E-4</v>
      </c>
    </row>
    <row r="39" spans="1:8">
      <c r="A39" s="32">
        <v>30</v>
      </c>
      <c r="B39">
        <f t="shared" si="4"/>
        <v>3.4470914248971252E-2</v>
      </c>
      <c r="C39">
        <f t="shared" si="5"/>
        <v>6.9503848521447864E-2</v>
      </c>
      <c r="D39">
        <f t="shared" si="6"/>
        <v>1.2273064837396664E-3</v>
      </c>
      <c r="F39" t="s">
        <v>54</v>
      </c>
      <c r="G39">
        <f>SUM(D36:D45)</f>
        <v>4.8676167013686385E-3</v>
      </c>
    </row>
    <row r="40" spans="1:8" ht="17" thickBot="1">
      <c r="A40" s="32">
        <v>45</v>
      </c>
      <c r="B40">
        <f t="shared" si="4"/>
        <v>7.0615664933556088E-2</v>
      </c>
      <c r="C40">
        <f t="shared" si="5"/>
        <v>0.1042557727821718</v>
      </c>
      <c r="D40">
        <f t="shared" si="6"/>
        <v>1.1316568560664961E-3</v>
      </c>
    </row>
    <row r="41" spans="1:8">
      <c r="A41" s="32">
        <v>60</v>
      </c>
      <c r="B41">
        <f t="shared" si="4"/>
        <v>0.11200762240031692</v>
      </c>
      <c r="C41">
        <f t="shared" si="5"/>
        <v>0.13900769704289573</v>
      </c>
      <c r="D41">
        <f t="shared" si="6"/>
        <v>7.2900403070482714E-4</v>
      </c>
      <c r="F41" s="31"/>
      <c r="G41" s="31" t="s">
        <v>53</v>
      </c>
      <c r="H41" s="31" t="s">
        <v>52</v>
      </c>
    </row>
    <row r="42" spans="1:8">
      <c r="A42" s="32">
        <v>75</v>
      </c>
      <c r="B42">
        <f t="shared" si="4"/>
        <v>0.16087421134873237</v>
      </c>
      <c r="C42">
        <f t="shared" si="5"/>
        <v>0.17375962130361966</v>
      </c>
      <c r="D42">
        <f t="shared" si="6"/>
        <v>1.6603378970550859E-4</v>
      </c>
      <c r="F42" s="30" t="s">
        <v>53</v>
      </c>
      <c r="G42" s="30">
        <v>1</v>
      </c>
      <c r="H42" s="30"/>
    </row>
    <row r="43" spans="1:8" ht="17" thickBot="1">
      <c r="A43" s="32">
        <v>90</v>
      </c>
      <c r="B43">
        <f t="shared" si="4"/>
        <v>0.20171751936333104</v>
      </c>
      <c r="C43">
        <f t="shared" si="5"/>
        <v>0.20851154556434359</v>
      </c>
      <c r="D43">
        <f t="shared" si="6"/>
        <v>4.6158792020045002E-5</v>
      </c>
      <c r="F43" s="29" t="s">
        <v>52</v>
      </c>
      <c r="G43" s="29">
        <v>0.99462071786604089</v>
      </c>
      <c r="H43" s="29">
        <v>1</v>
      </c>
    </row>
    <row r="44" spans="1:8">
      <c r="A44" s="32">
        <v>120</v>
      </c>
      <c r="B44">
        <f t="shared" si="4"/>
        <v>0.29670308019990255</v>
      </c>
      <c r="C44">
        <f t="shared" si="5"/>
        <v>0.27801539408579146</v>
      </c>
      <c r="D44">
        <f t="shared" si="6"/>
        <v>3.492296122995405E-4</v>
      </c>
      <c r="F44" s="30"/>
      <c r="G44" s="30"/>
    </row>
    <row r="45" spans="1:8">
      <c r="A45" s="32">
        <v>180</v>
      </c>
      <c r="B45">
        <f t="shared" si="4"/>
        <v>0.43895924014847376</v>
      </c>
      <c r="C45">
        <f t="shared" si="5"/>
        <v>0.41702309112868718</v>
      </c>
      <c r="D45">
        <f t="shared" si="6"/>
        <v>4.8119463381828361E-4</v>
      </c>
      <c r="F45" s="30"/>
      <c r="G45" s="30"/>
    </row>
    <row r="46" spans="1:8">
      <c r="A46" s="39">
        <v>360</v>
      </c>
      <c r="B46">
        <f t="shared" si="4"/>
        <v>0.44079347331375596</v>
      </c>
      <c r="C46">
        <f t="shared" si="5"/>
        <v>0.83404618225737437</v>
      </c>
      <c r="D46">
        <f t="shared" si="6"/>
        <v>0.15464769309149426</v>
      </c>
      <c r="F46" s="30"/>
      <c r="G46" s="30"/>
    </row>
    <row r="47" spans="1:8">
      <c r="F47" s="30"/>
      <c r="G47" s="30"/>
    </row>
    <row r="48" spans="1:8" ht="17" thickBot="1">
      <c r="F48" s="29"/>
      <c r="G48" s="29"/>
    </row>
    <row r="50" spans="6:11" ht="17" thickBot="1"/>
    <row r="51" spans="6:11">
      <c r="F51" s="31"/>
      <c r="G51" s="31"/>
      <c r="H51" s="31"/>
      <c r="I51" s="31"/>
      <c r="J51" s="31"/>
      <c r="K51" s="31"/>
    </row>
    <row r="52" spans="6:11">
      <c r="F52" s="30"/>
      <c r="G52" s="30"/>
      <c r="H52" s="30"/>
      <c r="I52" s="30"/>
      <c r="J52" s="30"/>
      <c r="K52" s="30"/>
    </row>
    <row r="53" spans="6:11">
      <c r="F53" s="30"/>
      <c r="G53" s="30"/>
      <c r="H53" s="30"/>
      <c r="I53" s="30"/>
      <c r="J53" s="30"/>
      <c r="K53" s="30"/>
    </row>
    <row r="54" spans="6:11" ht="17" thickBot="1">
      <c r="F54" s="29"/>
      <c r="G54" s="29"/>
      <c r="H54" s="29"/>
      <c r="I54" s="29"/>
      <c r="J54" s="29"/>
      <c r="K54" s="29"/>
    </row>
  </sheetData>
  <scenarios current="0" show="0" sqref="G6">
    <scenario name="test" locked="1" count="2" user="Microsoft Office User" comment="Created by Microsoft Office User on 16/9/2019">
      <inputCells r="G3" val="0.5"/>
      <inputCells r="G4" val="0.5"/>
    </scenario>
  </scenarios>
  <sortState xmlns:xlrd2="http://schemas.microsoft.com/office/spreadsheetml/2017/richdata2" ref="J10:M14">
    <sortCondition ref="L11"/>
  </sortState>
  <pageMargins left="0.7" right="0.7" top="0.75" bottom="0.75" header="0.3" footer="0.3"/>
  <pageSetup paperSize="9" orientation="portrait" horizontalDpi="0" verticalDpi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B5AA18-85D5-624B-A9DF-AEFC1EBD7FCA}">
  <dimension ref="A1"/>
  <sheetViews>
    <sheetView workbookViewId="0">
      <selection sqref="A1:C3"/>
    </sheetView>
  </sheetViews>
  <sheetFormatPr baseColWidth="10" defaultRowHeight="16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370910-1458-8147-B50F-408910478F47}">
  <dimension ref="A1:K78"/>
  <sheetViews>
    <sheetView tabSelected="1" topLeftCell="A4" workbookViewId="0">
      <selection activeCell="C21" sqref="C21"/>
    </sheetView>
  </sheetViews>
  <sheetFormatPr baseColWidth="10" defaultRowHeight="16"/>
  <cols>
    <col min="1" max="1" width="15" customWidth="1"/>
    <col min="3" max="3" width="12.6640625" customWidth="1"/>
    <col min="4" max="4" width="14.1640625" customWidth="1"/>
  </cols>
  <sheetData>
    <row r="1" spans="1:8" ht="21">
      <c r="A1" s="37" t="s">
        <v>72</v>
      </c>
      <c r="B1" s="34" t="s">
        <v>70</v>
      </c>
      <c r="E1" s="35" t="s">
        <v>69</v>
      </c>
    </row>
    <row r="2" spans="1:8">
      <c r="A2" t="s">
        <v>59</v>
      </c>
      <c r="B2" t="s">
        <v>64</v>
      </c>
      <c r="C2" t="s">
        <v>63</v>
      </c>
      <c r="D2" t="s">
        <v>68</v>
      </c>
    </row>
    <row r="3" spans="1:8">
      <c r="A3" s="38">
        <v>0</v>
      </c>
      <c r="B3" s="4">
        <v>14</v>
      </c>
      <c r="C3">
        <f t="shared" ref="C3:C13" si="0">$G$3*(A3^$G$4)</f>
        <v>0</v>
      </c>
      <c r="D3" s="36">
        <f t="shared" ref="D3:D13" si="1">(B3-C3)^2</f>
        <v>196</v>
      </c>
      <c r="F3" t="s">
        <v>56</v>
      </c>
      <c r="G3">
        <v>20.1107408763114</v>
      </c>
    </row>
    <row r="4" spans="1:8">
      <c r="A4" s="38">
        <v>5</v>
      </c>
      <c r="B4" s="4">
        <v>42.511185149928615</v>
      </c>
      <c r="C4">
        <f t="shared" si="0"/>
        <v>42.511247676630653</v>
      </c>
      <c r="D4" s="36">
        <f t="shared" si="1"/>
        <v>3.9095884677754118E-9</v>
      </c>
      <c r="F4" t="s">
        <v>62</v>
      </c>
      <c r="G4">
        <v>0.46507829973026821</v>
      </c>
    </row>
    <row r="5" spans="1:8" ht="17" thickBot="1">
      <c r="A5" s="38">
        <v>15</v>
      </c>
      <c r="B5" s="4">
        <v>70.860542598762493</v>
      </c>
      <c r="C5">
        <f t="shared" si="0"/>
        <v>70.860235820380041</v>
      </c>
      <c r="D5" s="36">
        <f t="shared" si="1"/>
        <v>9.4112975939845053E-8</v>
      </c>
      <c r="F5" t="s">
        <v>55</v>
      </c>
      <c r="G5" s="29">
        <v>0.97199222185373046</v>
      </c>
    </row>
    <row r="6" spans="1:8">
      <c r="A6" s="38">
        <v>30</v>
      </c>
      <c r="B6" s="4">
        <v>85.4336030461685</v>
      </c>
      <c r="C6">
        <f t="shared" si="0"/>
        <v>97.814921757047003</v>
      </c>
      <c r="D6" s="36">
        <f t="shared" si="1"/>
        <v>153.29705302035012</v>
      </c>
    </row>
    <row r="7" spans="1:8">
      <c r="A7" s="38">
        <v>45</v>
      </c>
      <c r="B7" s="4">
        <v>98.670157068062835</v>
      </c>
      <c r="C7">
        <f t="shared" si="0"/>
        <v>118.11398853108979</v>
      </c>
      <c r="D7" s="36">
        <f t="shared" si="1"/>
        <v>378.06258196259688</v>
      </c>
      <c r="F7" t="s">
        <v>54</v>
      </c>
      <c r="G7" s="36">
        <f>SUM(D3:D5)</f>
        <v>196.00000009802255</v>
      </c>
    </row>
    <row r="8" spans="1:8" ht="17" thickBot="1">
      <c r="A8" s="9">
        <v>60</v>
      </c>
      <c r="B8" s="4">
        <v>99.209900047596406</v>
      </c>
      <c r="C8">
        <f t="shared" si="0"/>
        <v>135.0229618567746</v>
      </c>
      <c r="D8" s="36">
        <f t="shared" si="1"/>
        <v>1282.5753961480177</v>
      </c>
    </row>
    <row r="9" spans="1:8">
      <c r="A9" s="9">
        <v>75</v>
      </c>
      <c r="B9" s="4">
        <v>98.695859114707289</v>
      </c>
      <c r="C9">
        <f t="shared" si="0"/>
        <v>149.78846646733484</v>
      </c>
      <c r="D9" s="36">
        <f t="shared" si="1"/>
        <v>2610.4545260897712</v>
      </c>
      <c r="F9" s="31"/>
      <c r="G9" s="31" t="s">
        <v>53</v>
      </c>
      <c r="H9" s="31" t="s">
        <v>52</v>
      </c>
    </row>
    <row r="10" spans="1:8">
      <c r="A10" s="9">
        <v>90</v>
      </c>
      <c r="B10" s="4">
        <v>98.927177534507379</v>
      </c>
      <c r="C10">
        <f t="shared" si="0"/>
        <v>163.04363671421004</v>
      </c>
      <c r="D10" s="36">
        <f t="shared" si="1"/>
        <v>4110.9203377424774</v>
      </c>
      <c r="F10" s="30" t="s">
        <v>53</v>
      </c>
      <c r="G10" s="30">
        <v>1</v>
      </c>
      <c r="H10" s="30"/>
    </row>
    <row r="11" spans="1:8" ht="17" thickBot="1">
      <c r="A11" s="9">
        <v>120</v>
      </c>
      <c r="B11" s="4">
        <v>99.595430747263208</v>
      </c>
      <c r="C11">
        <f t="shared" si="0"/>
        <v>186.38465278190091</v>
      </c>
      <c r="D11" s="36">
        <f t="shared" si="1"/>
        <v>7532.3690613776425</v>
      </c>
      <c r="F11" s="29" t="s">
        <v>52</v>
      </c>
      <c r="G11" s="29">
        <v>0.99359530621868442</v>
      </c>
      <c r="H11" s="29">
        <v>1</v>
      </c>
    </row>
    <row r="12" spans="1:8">
      <c r="A12" s="9">
        <v>180</v>
      </c>
      <c r="B12" s="4">
        <v>99.980961446930039</v>
      </c>
      <c r="C12">
        <f t="shared" si="0"/>
        <v>225.06417574746538</v>
      </c>
      <c r="D12" s="36">
        <f t="shared" si="1"/>
        <v>15645.81049975365</v>
      </c>
    </row>
    <row r="13" spans="1:8">
      <c r="A13" s="6">
        <v>360</v>
      </c>
      <c r="B13" s="4">
        <v>99.441218467396482</v>
      </c>
      <c r="C13">
        <f t="shared" si="0"/>
        <v>310.6768483928895</v>
      </c>
      <c r="D13" s="36">
        <f t="shared" si="1"/>
        <v>44620.491350019838</v>
      </c>
    </row>
    <row r="18" spans="1:8">
      <c r="B18" s="34" t="s">
        <v>67</v>
      </c>
      <c r="E18" s="35" t="s">
        <v>66</v>
      </c>
      <c r="F18" s="33" t="s">
        <v>65</v>
      </c>
    </row>
    <row r="19" spans="1:8">
      <c r="A19" t="s">
        <v>59</v>
      </c>
      <c r="B19" t="s">
        <v>64</v>
      </c>
      <c r="C19" t="s">
        <v>63</v>
      </c>
      <c r="D19" t="s">
        <v>0</v>
      </c>
    </row>
    <row r="20" spans="1:8">
      <c r="A20">
        <v>0</v>
      </c>
      <c r="B20" s="4">
        <v>14</v>
      </c>
      <c r="C20">
        <f>1- (1-$G$20*A20)^$G$21</f>
        <v>0</v>
      </c>
      <c r="D20">
        <f t="shared" ref="D20:D30" si="2">(B20-C20)^2</f>
        <v>196</v>
      </c>
      <c r="F20" s="33" t="s">
        <v>56</v>
      </c>
      <c r="G20">
        <v>1.5972531736551564E-2</v>
      </c>
    </row>
    <row r="21" spans="1:8">
      <c r="A21">
        <v>5</v>
      </c>
      <c r="B21" s="4">
        <v>19.919086149452642</v>
      </c>
      <c r="C21">
        <f t="shared" ref="C21:C30" si="3">1- (1-$G$20*A21)^$G$21</f>
        <v>0.22096321086378856</v>
      </c>
      <c r="D21">
        <f t="shared" si="2"/>
        <v>388.01604730376033</v>
      </c>
      <c r="F21" t="s">
        <v>62</v>
      </c>
      <c r="G21">
        <v>3</v>
      </c>
    </row>
    <row r="22" spans="1:8">
      <c r="A22">
        <v>15</v>
      </c>
      <c r="B22" s="4">
        <v>28.14374107567825</v>
      </c>
      <c r="C22">
        <f t="shared" si="3"/>
        <v>0.56030965776518182</v>
      </c>
      <c r="D22">
        <f t="shared" si="2"/>
        <v>760.84568878671371</v>
      </c>
      <c r="F22" t="s">
        <v>55</v>
      </c>
    </row>
    <row r="23" spans="1:8">
      <c r="A23">
        <v>30</v>
      </c>
      <c r="B23" s="4">
        <v>49.168015230842457</v>
      </c>
      <c r="C23">
        <f t="shared" si="3"/>
        <v>0.85872247245542743</v>
      </c>
      <c r="D23">
        <f t="shared" si="2"/>
        <v>2333.7877668155456</v>
      </c>
    </row>
    <row r="24" spans="1:8">
      <c r="A24">
        <v>45</v>
      </c>
      <c r="B24" s="4">
        <v>61.068062827225134</v>
      </c>
      <c r="C24">
        <f t="shared" si="3"/>
        <v>0.97775599059724994</v>
      </c>
      <c r="D24">
        <f t="shared" si="2"/>
        <v>3610.8449757200874</v>
      </c>
      <c r="F24" t="s">
        <v>54</v>
      </c>
      <c r="G24">
        <f>SUM(D20:D30)</f>
        <v>47799.439735025182</v>
      </c>
    </row>
    <row r="25" spans="1:8" ht="17" thickBot="1">
      <c r="A25">
        <v>60</v>
      </c>
      <c r="B25" s="4">
        <v>76.206568300809138</v>
      </c>
      <c r="C25">
        <f t="shared" si="3"/>
        <v>0.99992775871716177</v>
      </c>
      <c r="D25">
        <f t="shared" si="2"/>
        <v>5656.0387816274324</v>
      </c>
    </row>
    <row r="26" spans="1:8">
      <c r="A26">
        <v>75</v>
      </c>
      <c r="B26" s="4">
        <v>88.158019990480724</v>
      </c>
      <c r="C26">
        <f t="shared" si="3"/>
        <v>1.0077553233416754</v>
      </c>
      <c r="D26">
        <f t="shared" si="2"/>
        <v>7595.1686315523857</v>
      </c>
      <c r="F26" s="31"/>
      <c r="G26" s="31" t="s">
        <v>53</v>
      </c>
      <c r="H26" s="31" t="s">
        <v>52</v>
      </c>
    </row>
    <row r="27" spans="1:8">
      <c r="A27">
        <v>90</v>
      </c>
      <c r="B27" s="4">
        <v>96.356972870061881</v>
      </c>
      <c r="C27">
        <f t="shared" si="3"/>
        <v>1.0837562309973032</v>
      </c>
      <c r="D27">
        <f t="shared" si="2"/>
        <v>9076.9858087541306</v>
      </c>
      <c r="F27" s="30" t="s">
        <v>53</v>
      </c>
      <c r="G27" s="30">
        <v>1</v>
      </c>
      <c r="H27" s="30"/>
    </row>
    <row r="28" spans="1:8" ht="17" thickBot="1">
      <c r="A28">
        <v>120</v>
      </c>
      <c r="B28" s="4">
        <v>99.595430747263208</v>
      </c>
      <c r="C28">
        <f t="shared" si="3"/>
        <v>1.7703482615079522</v>
      </c>
      <c r="D28">
        <f t="shared" si="2"/>
        <v>9569.7467633448214</v>
      </c>
      <c r="F28" s="29" t="s">
        <v>52</v>
      </c>
      <c r="G28" s="29">
        <v>0.35545715894954899</v>
      </c>
      <c r="H28" s="29">
        <v>1</v>
      </c>
    </row>
    <row r="29" spans="1:8">
      <c r="A29">
        <v>180</v>
      </c>
      <c r="B29" s="4">
        <v>99.980961446930039</v>
      </c>
      <c r="C29">
        <f t="shared" si="3"/>
        <v>7.5923844860691725</v>
      </c>
      <c r="D29">
        <f t="shared" si="2"/>
        <v>8535.6491528529095</v>
      </c>
    </row>
    <row r="30" spans="1:8">
      <c r="A30">
        <v>360</v>
      </c>
      <c r="B30" s="4">
        <v>99.441218467396482</v>
      </c>
      <c r="C30">
        <f t="shared" si="3"/>
        <v>108.17941726734342</v>
      </c>
      <c r="D30">
        <f t="shared" si="2"/>
        <v>76.356118267394194</v>
      </c>
    </row>
    <row r="34" spans="1:8">
      <c r="B34" s="34" t="s">
        <v>61</v>
      </c>
      <c r="D34" s="33" t="s">
        <v>60</v>
      </c>
    </row>
    <row r="35" spans="1:8">
      <c r="A35" t="s">
        <v>59</v>
      </c>
      <c r="B35" t="s">
        <v>58</v>
      </c>
      <c r="C35" t="s">
        <v>57</v>
      </c>
      <c r="D35" t="s">
        <v>0</v>
      </c>
    </row>
    <row r="36" spans="1:8">
      <c r="A36" s="32">
        <v>0</v>
      </c>
      <c r="B36">
        <f>3/2*(1-(1-B3/100)^(2/3))-B3/100</f>
        <v>3.4882501700355117E-3</v>
      </c>
      <c r="C36">
        <f t="shared" ref="C36:C46" si="4">$G$36*A36</f>
        <v>0</v>
      </c>
      <c r="D36">
        <f t="shared" ref="D36:D46" si="5">(B36-C36)^2</f>
        <v>1.2167889248752776E-5</v>
      </c>
      <c r="F36" t="s">
        <v>56</v>
      </c>
      <c r="G36">
        <v>8.9423930660706714E-3</v>
      </c>
    </row>
    <row r="37" spans="1:8" ht="17" thickBot="1">
      <c r="A37" s="32">
        <v>5</v>
      </c>
      <c r="B37">
        <f t="shared" ref="B37:B46" si="6">3/2*(1-(1-B4/100)^(2/3))-B4/100</f>
        <v>3.7805194282645449E-2</v>
      </c>
      <c r="C37">
        <f t="shared" si="4"/>
        <v>4.4711965330353355E-2</v>
      </c>
      <c r="D37">
        <f t="shared" si="5"/>
        <v>4.7703486305456164E-5</v>
      </c>
      <c r="F37" t="s">
        <v>55</v>
      </c>
      <c r="G37" s="29">
        <v>0.97701280678756874</v>
      </c>
    </row>
    <row r="38" spans="1:8">
      <c r="A38" s="32">
        <v>15</v>
      </c>
      <c r="B38">
        <f t="shared" si="6"/>
        <v>0.1321009139637993</v>
      </c>
      <c r="C38">
        <f t="shared" si="4"/>
        <v>0.13413589599106007</v>
      </c>
      <c r="D38">
        <f t="shared" si="5"/>
        <v>4.141151851274344E-6</v>
      </c>
    </row>
    <row r="39" spans="1:8">
      <c r="A39" s="32">
        <v>30</v>
      </c>
      <c r="B39">
        <f t="shared" si="6"/>
        <v>0.23039830894357205</v>
      </c>
      <c r="C39">
        <f t="shared" si="4"/>
        <v>0.26827179198212014</v>
      </c>
      <c r="D39">
        <f t="shared" si="5"/>
        <v>1.4344007174711903E-3</v>
      </c>
      <c r="F39" t="s">
        <v>54</v>
      </c>
      <c r="G39">
        <f>SUM(D36:D40)</f>
        <v>2.2110221237370961E-3</v>
      </c>
    </row>
    <row r="40" spans="1:8" ht="17" thickBot="1">
      <c r="A40" s="32">
        <v>45</v>
      </c>
      <c r="B40">
        <f t="shared" si="6"/>
        <v>0.42910242301326673</v>
      </c>
      <c r="C40">
        <f t="shared" si="4"/>
        <v>0.40240768797318022</v>
      </c>
      <c r="D40">
        <f t="shared" si="5"/>
        <v>7.126088788604228E-4</v>
      </c>
    </row>
    <row r="41" spans="1:8">
      <c r="A41" s="32">
        <v>60</v>
      </c>
      <c r="B41">
        <f t="shared" si="6"/>
        <v>0.44839702850728302</v>
      </c>
      <c r="C41">
        <f t="shared" si="4"/>
        <v>0.53654358396424029</v>
      </c>
      <c r="D41">
        <f t="shared" si="5"/>
        <v>7.7698152389264422E-3</v>
      </c>
      <c r="F41" s="31"/>
      <c r="G41" s="31" t="s">
        <v>53</v>
      </c>
      <c r="H41" s="31" t="s">
        <v>52</v>
      </c>
    </row>
    <row r="42" spans="1:8">
      <c r="A42" s="32">
        <v>75</v>
      </c>
      <c r="B42">
        <f t="shared" si="6"/>
        <v>0.42993377214431283</v>
      </c>
      <c r="C42">
        <f t="shared" si="4"/>
        <v>0.67067947995530031</v>
      </c>
      <c r="D42">
        <f t="shared" si="5"/>
        <v>5.7958495829413356E-2</v>
      </c>
      <c r="F42" s="30" t="s">
        <v>53</v>
      </c>
      <c r="G42" s="30">
        <v>1</v>
      </c>
      <c r="H42" s="30"/>
    </row>
    <row r="43" spans="1:8" ht="17" thickBot="1">
      <c r="A43" s="32">
        <v>90</v>
      </c>
      <c r="B43">
        <f t="shared" si="6"/>
        <v>0.43776402350919252</v>
      </c>
      <c r="C43">
        <f t="shared" si="4"/>
        <v>0.80481537594636043</v>
      </c>
      <c r="D43">
        <f t="shared" si="5"/>
        <v>0.13472669532595405</v>
      </c>
      <c r="F43" s="29" t="s">
        <v>52</v>
      </c>
      <c r="G43" s="29">
        <v>0.99108682806233228</v>
      </c>
      <c r="H43" s="29">
        <v>1</v>
      </c>
    </row>
    <row r="44" spans="1:8">
      <c r="A44" s="32">
        <v>120</v>
      </c>
      <c r="B44">
        <f t="shared" si="6"/>
        <v>0.46596076139642095</v>
      </c>
      <c r="C44">
        <f t="shared" si="4"/>
        <v>1.0730871679284806</v>
      </c>
      <c r="D44">
        <f t="shared" si="5"/>
        <v>0.36860247350853176</v>
      </c>
      <c r="F44" s="30"/>
      <c r="G44" s="30"/>
    </row>
    <row r="45" spans="1:8">
      <c r="A45" s="39">
        <v>180</v>
      </c>
      <c r="B45">
        <f t="shared" si="6"/>
        <v>0.49522620898487768</v>
      </c>
      <c r="C45">
        <f t="shared" si="4"/>
        <v>1.6096307518927209</v>
      </c>
      <c r="D45">
        <f t="shared" si="5"/>
        <v>1.2418974852536386</v>
      </c>
      <c r="F45" s="30"/>
      <c r="G45" s="30"/>
    </row>
    <row r="46" spans="1:8">
      <c r="A46" s="39">
        <v>360</v>
      </c>
      <c r="B46">
        <f t="shared" si="6"/>
        <v>0.45835404407004621</v>
      </c>
      <c r="C46">
        <f t="shared" si="4"/>
        <v>3.2192615037854417</v>
      </c>
      <c r="D46">
        <f t="shared" si="5"/>
        <v>7.6226100011121183</v>
      </c>
      <c r="F46" s="30"/>
      <c r="G46" s="30"/>
    </row>
    <row r="47" spans="1:8">
      <c r="F47" s="30"/>
      <c r="G47" s="30"/>
    </row>
    <row r="48" spans="1:8" ht="17" thickBot="1">
      <c r="F48" s="29"/>
      <c r="G48" s="29"/>
    </row>
    <row r="50" spans="1:11" ht="17" thickBot="1">
      <c r="A50" s="41" t="s">
        <v>78</v>
      </c>
      <c r="C50" t="s">
        <v>79</v>
      </c>
    </row>
    <row r="51" spans="1:11">
      <c r="A51" t="s">
        <v>59</v>
      </c>
      <c r="B51" t="s">
        <v>64</v>
      </c>
      <c r="C51" t="s">
        <v>63</v>
      </c>
      <c r="D51" t="s">
        <v>68</v>
      </c>
      <c r="F51" s="31"/>
      <c r="G51" s="31"/>
      <c r="H51" s="31"/>
      <c r="I51" s="31"/>
      <c r="J51" s="31"/>
      <c r="K51" s="31"/>
    </row>
    <row r="52" spans="1:11">
      <c r="A52" s="7">
        <v>0</v>
      </c>
      <c r="B52" s="4">
        <f>(2.5)^(1/3)-(2.5/100*(100-B3))^(1/3)</f>
        <v>6.6545927623420598E-2</v>
      </c>
      <c r="C52">
        <f>$G$52*A52</f>
        <v>0</v>
      </c>
      <c r="D52" s="36">
        <f t="shared" ref="D52:D62" si="7">(B52-C52)^2</f>
        <v>4.4283604832615325E-3</v>
      </c>
      <c r="F52" s="30" t="s">
        <v>56</v>
      </c>
      <c r="G52" s="30">
        <v>2.327637383079979E-2</v>
      </c>
      <c r="H52" s="30"/>
      <c r="I52" s="30"/>
      <c r="J52" s="30"/>
      <c r="K52" s="30"/>
    </row>
    <row r="53" spans="1:11">
      <c r="A53" s="7">
        <v>5</v>
      </c>
      <c r="B53" s="4">
        <f t="shared" ref="B53:B62" si="8">(2.5)^(1/3)-(2.5/100*(100-B4))^(1/3)</f>
        <v>0.22869263354372094</v>
      </c>
      <c r="C53">
        <f t="shared" ref="C53:C62" si="9">$G$52*A53</f>
        <v>0.11638186915399895</v>
      </c>
      <c r="D53" s="36">
        <f t="shared" si="7"/>
        <v>1.2613707797803644E-2</v>
      </c>
      <c r="F53" s="30" t="s">
        <v>55</v>
      </c>
      <c r="G53" s="30"/>
      <c r="H53" s="30"/>
      <c r="I53" s="30"/>
      <c r="J53" s="30"/>
      <c r="K53" s="30"/>
    </row>
    <row r="54" spans="1:11" ht="17" thickBot="1">
      <c r="A54" s="7">
        <v>15</v>
      </c>
      <c r="B54" s="4">
        <f t="shared" si="8"/>
        <v>0.45742020155457708</v>
      </c>
      <c r="C54">
        <f t="shared" si="9"/>
        <v>0.34914560746199685</v>
      </c>
      <c r="D54" s="36">
        <f t="shared" si="7"/>
        <v>1.1723387725913009E-2</v>
      </c>
      <c r="F54" s="29"/>
      <c r="G54" s="29"/>
      <c r="H54" s="29"/>
      <c r="I54" s="29"/>
      <c r="J54" s="29"/>
      <c r="K54" s="29"/>
    </row>
    <row r="55" spans="1:11">
      <c r="A55" s="7">
        <v>30</v>
      </c>
      <c r="B55" s="4">
        <f t="shared" si="8"/>
        <v>0.64310055928223564</v>
      </c>
      <c r="C55">
        <f t="shared" si="9"/>
        <v>0.69829121492399371</v>
      </c>
      <c r="D55" s="36">
        <f t="shared" si="7"/>
        <v>3.0460084701671216E-3</v>
      </c>
      <c r="F55" t="s">
        <v>54</v>
      </c>
      <c r="G55" s="36">
        <f>SUM(D52:D56)</f>
        <v>3.1950155958692279E-2</v>
      </c>
    </row>
    <row r="56" spans="1:11">
      <c r="A56" s="7">
        <v>45</v>
      </c>
      <c r="B56" s="4">
        <f t="shared" si="8"/>
        <v>1.0356600876285555</v>
      </c>
      <c r="C56">
        <f t="shared" si="9"/>
        <v>1.0474368223859905</v>
      </c>
      <c r="D56" s="36">
        <f t="shared" si="7"/>
        <v>1.3869148154697534E-4</v>
      </c>
    </row>
    <row r="57" spans="1:11">
      <c r="A57" s="7">
        <v>60</v>
      </c>
      <c r="B57" s="4">
        <f t="shared" si="8"/>
        <v>1.0868914001023817</v>
      </c>
      <c r="C57">
        <f t="shared" si="9"/>
        <v>1.3965824298479874</v>
      </c>
      <c r="D57" s="36">
        <f t="shared" si="7"/>
        <v>9.5908533904893636E-2</v>
      </c>
    </row>
    <row r="58" spans="1:11" ht="17" thickBot="1">
      <c r="A58" s="7">
        <v>75</v>
      </c>
      <c r="B58" s="4">
        <f t="shared" si="8"/>
        <v>1.0377451163531282</v>
      </c>
      <c r="C58">
        <f t="shared" si="9"/>
        <v>1.7457280373099842</v>
      </c>
      <c r="D58" s="36">
        <f t="shared" si="7"/>
        <v>0.50123981636660175</v>
      </c>
    </row>
    <row r="59" spans="1:11">
      <c r="A59" s="7">
        <v>90</v>
      </c>
      <c r="B59" s="4">
        <f t="shared" si="8"/>
        <v>1.0578748725367291</v>
      </c>
      <c r="C59">
        <f t="shared" si="9"/>
        <v>2.0948736447719809</v>
      </c>
      <c r="D59" s="36">
        <f t="shared" si="7"/>
        <v>1.0753664536174197</v>
      </c>
      <c r="F59" s="31"/>
      <c r="G59" s="31" t="s">
        <v>53</v>
      </c>
      <c r="H59" s="31" t="s">
        <v>52</v>
      </c>
    </row>
    <row r="60" spans="1:11">
      <c r="A60" s="7">
        <v>120</v>
      </c>
      <c r="B60" s="4">
        <f t="shared" si="8"/>
        <v>1.1409480968787611</v>
      </c>
      <c r="C60">
        <f t="shared" si="9"/>
        <v>2.7931648596959748</v>
      </c>
      <c r="D60" s="36">
        <f t="shared" si="7"/>
        <v>2.7298202313341933</v>
      </c>
      <c r="F60" s="30" t="s">
        <v>53</v>
      </c>
      <c r="G60" s="30">
        <v>1</v>
      </c>
      <c r="H60" s="30"/>
    </row>
    <row r="61" spans="1:11" ht="17" thickBot="1">
      <c r="A61" s="7">
        <v>180</v>
      </c>
      <c r="B61" s="4">
        <f t="shared" si="8"/>
        <v>1.2791315329871984</v>
      </c>
      <c r="C61">
        <f t="shared" si="9"/>
        <v>4.1897472895439618</v>
      </c>
      <c r="D61" s="36">
        <f t="shared" si="7"/>
        <v>8.4716840823165001</v>
      </c>
      <c r="F61" s="29" t="s">
        <v>52</v>
      </c>
      <c r="G61" s="29">
        <v>0.99164320789074634</v>
      </c>
      <c r="H61" s="29">
        <v>1</v>
      </c>
    </row>
    <row r="62" spans="1:11">
      <c r="A62" s="6">
        <v>360</v>
      </c>
      <c r="B62" s="4">
        <f t="shared" si="8"/>
        <v>1.1163695111810019</v>
      </c>
      <c r="C62">
        <f t="shared" si="9"/>
        <v>8.3794945790879236</v>
      </c>
      <c r="D62" s="36">
        <f t="shared" si="7"/>
        <v>52.752985752057924</v>
      </c>
    </row>
    <row r="66" spans="1:8">
      <c r="A66" t="s">
        <v>84</v>
      </c>
    </row>
    <row r="67" spans="1:8">
      <c r="A67" t="s">
        <v>59</v>
      </c>
      <c r="B67" t="s">
        <v>64</v>
      </c>
      <c r="C67" t="s">
        <v>63</v>
      </c>
      <c r="D67" t="s">
        <v>68</v>
      </c>
    </row>
    <row r="68" spans="1:8">
      <c r="A68" s="38">
        <v>0</v>
      </c>
      <c r="B68" s="4">
        <v>14</v>
      </c>
      <c r="C68">
        <f>$G$68*(A68^$G$70)+G69*(A68^(2*$G$70))</f>
        <v>0</v>
      </c>
      <c r="D68" s="36">
        <f t="shared" ref="D68:D78" si="10">(B68-C68)^2</f>
        <v>196</v>
      </c>
      <c r="F68" t="s">
        <v>85</v>
      </c>
      <c r="G68">
        <v>19.397743147711687</v>
      </c>
    </row>
    <row r="69" spans="1:8">
      <c r="A69" s="38">
        <v>5</v>
      </c>
      <c r="B69" s="4">
        <v>42.511185149928615</v>
      </c>
      <c r="C69">
        <f t="shared" ref="C69:C72" si="11">$G$68*(A69^$G$70)+G70*(A69^(2*$G$70))</f>
        <v>40.46952406096608</v>
      </c>
      <c r="D69" s="36">
        <f t="shared" si="10"/>
        <v>4.1683800021836825</v>
      </c>
      <c r="F69" t="s">
        <v>86</v>
      </c>
      <c r="G69">
        <v>0.1</v>
      </c>
    </row>
    <row r="70" spans="1:8">
      <c r="A70" s="38">
        <v>15</v>
      </c>
      <c r="B70" s="4">
        <v>70.860542598762493</v>
      </c>
      <c r="C70">
        <f t="shared" si="11"/>
        <v>72.133522399111115</v>
      </c>
      <c r="D70" s="36">
        <f t="shared" si="10"/>
        <v>1.6204775720956184</v>
      </c>
      <c r="F70" t="s">
        <v>87</v>
      </c>
      <c r="G70">
        <v>0.43</v>
      </c>
    </row>
    <row r="71" spans="1:8" ht="17" thickBot="1">
      <c r="A71" s="38">
        <v>30</v>
      </c>
      <c r="B71" s="4">
        <v>85.4336030461685</v>
      </c>
      <c r="C71">
        <f t="shared" si="11"/>
        <v>83.736218406556105</v>
      </c>
      <c r="D71" s="36">
        <f t="shared" si="10"/>
        <v>2.8811146147920987</v>
      </c>
      <c r="F71" t="s">
        <v>55</v>
      </c>
      <c r="G71" s="29">
        <v>0.97199222185373046</v>
      </c>
    </row>
    <row r="72" spans="1:8">
      <c r="A72" s="38">
        <v>45</v>
      </c>
      <c r="B72" s="4">
        <v>98.670157068062835</v>
      </c>
      <c r="C72">
        <f t="shared" si="11"/>
        <v>5428.8601644812916</v>
      </c>
      <c r="D72" s="36">
        <f t="shared" si="10"/>
        <v>28410925.515127838</v>
      </c>
    </row>
    <row r="73" spans="1:8" ht="17" thickBot="1">
      <c r="A73" s="9">
        <v>60</v>
      </c>
      <c r="B73" s="4">
        <v>99.209900047596406</v>
      </c>
      <c r="C73">
        <f t="shared" ref="C73:C78" si="12">$G$3*(A73^$G$4)</f>
        <v>135.0229618567746</v>
      </c>
      <c r="D73" s="36">
        <f t="shared" si="10"/>
        <v>1282.5753961480177</v>
      </c>
      <c r="F73" t="s">
        <v>54</v>
      </c>
      <c r="G73" s="36">
        <f>SUM(D68:D70)</f>
        <v>201.78885757427929</v>
      </c>
    </row>
    <row r="74" spans="1:8" ht="17" thickBot="1">
      <c r="A74" s="9">
        <v>75</v>
      </c>
      <c r="B74" s="4">
        <v>98.695859114707289</v>
      </c>
      <c r="C74">
        <f t="shared" si="12"/>
        <v>149.78846646733484</v>
      </c>
      <c r="D74" s="36">
        <f t="shared" si="10"/>
        <v>2610.4545260897712</v>
      </c>
      <c r="H74" s="31"/>
    </row>
    <row r="75" spans="1:8">
      <c r="A75" s="9">
        <v>90</v>
      </c>
      <c r="B75" s="4">
        <v>98.927177534507379</v>
      </c>
      <c r="C75">
        <f t="shared" si="12"/>
        <v>163.04363671421004</v>
      </c>
      <c r="D75" s="36">
        <f t="shared" si="10"/>
        <v>4110.9203377424774</v>
      </c>
      <c r="F75" s="31"/>
      <c r="G75" s="31" t="s">
        <v>53</v>
      </c>
      <c r="H75" s="31" t="s">
        <v>52</v>
      </c>
    </row>
    <row r="76" spans="1:8">
      <c r="A76" s="9">
        <v>120</v>
      </c>
      <c r="B76" s="4">
        <v>99.595430747263208</v>
      </c>
      <c r="C76">
        <f t="shared" si="12"/>
        <v>186.38465278190091</v>
      </c>
      <c r="D76" s="36">
        <f t="shared" si="10"/>
        <v>7532.3690613776425</v>
      </c>
      <c r="F76" s="30" t="s">
        <v>53</v>
      </c>
      <c r="G76" s="30">
        <v>1</v>
      </c>
      <c r="H76" s="30"/>
    </row>
    <row r="77" spans="1:8" ht="17" thickBot="1">
      <c r="A77" s="9">
        <v>180</v>
      </c>
      <c r="B77" s="4">
        <v>99.980961446930039</v>
      </c>
      <c r="C77">
        <f t="shared" si="12"/>
        <v>225.06417574746538</v>
      </c>
      <c r="D77" s="36">
        <f t="shared" si="10"/>
        <v>15645.81049975365</v>
      </c>
      <c r="F77" s="29" t="s">
        <v>52</v>
      </c>
      <c r="G77" s="29">
        <v>0.99763976966710566</v>
      </c>
      <c r="H77" s="29">
        <v>1</v>
      </c>
    </row>
    <row r="78" spans="1:8">
      <c r="A78" s="6">
        <v>360</v>
      </c>
      <c r="B78" s="4">
        <v>99.441218467396482</v>
      </c>
      <c r="C78">
        <f t="shared" si="12"/>
        <v>310.6768483928895</v>
      </c>
      <c r="D78" s="36">
        <f t="shared" si="10"/>
        <v>44620.491350019838</v>
      </c>
    </row>
  </sheetData>
  <scenarios current="0" show="0" sqref="G6">
    <scenario name="test" locked="1" count="2" user="Microsoft Office User" comment="Created by Microsoft Office User on 16/9/2019">
      <inputCells r="G3" val="0.5"/>
      <inputCells r="G4" val="0.5"/>
    </scenario>
  </scenarios>
  <pageMargins left="0.7" right="0.7" top="0.75" bottom="0.75" header="0.3" footer="0.3"/>
  <pageSetup paperSize="9"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7 AUG 2019</vt:lpstr>
      <vt:lpstr>12 AUG 2019</vt:lpstr>
      <vt:lpstr>16 AUG 2019</vt:lpstr>
      <vt:lpstr>28 AUG 2019</vt:lpstr>
      <vt:lpstr>stat</vt:lpstr>
      <vt:lpstr>Model fit</vt:lpstr>
      <vt:lpstr>Sheet1</vt:lpstr>
      <vt:lpstr>Model fit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用户</dc:creator>
  <cp:lastModifiedBy>Weng Jingwen</cp:lastModifiedBy>
  <dcterms:created xsi:type="dcterms:W3CDTF">2018-10-10T02:52:28Z</dcterms:created>
  <dcterms:modified xsi:type="dcterms:W3CDTF">2022-05-07T03:47:37Z</dcterms:modified>
</cp:coreProperties>
</file>