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Nano release/"/>
    </mc:Choice>
  </mc:AlternateContent>
  <xr:revisionPtr revIDLastSave="160" documentId="6_{A7D8E493-864E-FA4A-A609-AC539BBD9052}" xr6:coauthVersionLast="47" xr6:coauthVersionMax="47" xr10:uidLastSave="{FB86F7A4-1823-3F46-B81C-7FE5D834D9C3}"/>
  <bookViews>
    <workbookView xWindow="1840" yWindow="1360" windowWidth="27640" windowHeight="15440" activeTab="1" xr2:uid="{8FAE01B9-6B88-4740-BD2B-8AD2E83FA04A}"/>
  </bookViews>
  <sheets>
    <sheet name="31 May 2019" sheetId="2" r:id="rId1"/>
    <sheet name="21 Jun 2019" sheetId="3" r:id="rId2"/>
    <sheet name="26 Jun 2019" sheetId="4" r:id="rId3"/>
    <sheet name="27 Aug 2019" sheetId="5" r:id="rId4"/>
    <sheet name="stat" sheetId="6" r:id="rId5"/>
    <sheet name="Model fit" sheetId="7" r:id="rId6"/>
    <sheet name="Model fit (2)" sheetId="8" r:id="rId7"/>
  </sheets>
  <definedNames>
    <definedName name="solver_adj" localSheetId="5" hidden="1">'Model fit'!$G$20</definedName>
    <definedName name="solver_adj" localSheetId="6" hidden="1">'Model fit (2)'!$G$70:$G$71</definedName>
    <definedName name="solver_cvg" localSheetId="5" hidden="1">0.0001</definedName>
    <definedName name="solver_cvg" localSheetId="6" hidden="1">0.0001</definedName>
    <definedName name="solver_drv" localSheetId="5" hidden="1">1</definedName>
    <definedName name="solver_drv" localSheetId="6" hidden="1">1</definedName>
    <definedName name="solver_eng" localSheetId="5" hidden="1">1</definedName>
    <definedName name="solver_eng" localSheetId="6" hidden="1">1</definedName>
    <definedName name="solver_itr" localSheetId="5" hidden="1">2147483647</definedName>
    <definedName name="solver_itr" localSheetId="6" hidden="1">2147483647</definedName>
    <definedName name="solver_lhs1" localSheetId="5" hidden="1">'Model fit'!$G$53</definedName>
    <definedName name="solver_lhs1" localSheetId="6" hidden="1">'Model fit (2)'!$G$52</definedName>
    <definedName name="solver_lin" localSheetId="5" hidden="1">2</definedName>
    <definedName name="solver_lin" localSheetId="6" hidden="1">2</definedName>
    <definedName name="solver_mip" localSheetId="5" hidden="1">2147483647</definedName>
    <definedName name="solver_mip" localSheetId="6" hidden="1">2147483647</definedName>
    <definedName name="solver_mni" localSheetId="5" hidden="1">30</definedName>
    <definedName name="solver_mni" localSheetId="6" hidden="1">30</definedName>
    <definedName name="solver_mrt" localSheetId="5" hidden="1">0.075</definedName>
    <definedName name="solver_mrt" localSheetId="6" hidden="1">0.075</definedName>
    <definedName name="solver_msl" localSheetId="5" hidden="1">2</definedName>
    <definedName name="solver_msl" localSheetId="6" hidden="1">2</definedName>
    <definedName name="solver_neg" localSheetId="5" hidden="1">2</definedName>
    <definedName name="solver_neg" localSheetId="6" hidden="1">2</definedName>
    <definedName name="solver_nod" localSheetId="5" hidden="1">2147483647</definedName>
    <definedName name="solver_nod" localSheetId="6" hidden="1">2147483647</definedName>
    <definedName name="solver_num" localSheetId="5" hidden="1">0</definedName>
    <definedName name="solver_num" localSheetId="6" hidden="1">0</definedName>
    <definedName name="solver_opt" localSheetId="5" hidden="1">'Model fit'!$G$24</definedName>
    <definedName name="solver_opt" localSheetId="6" hidden="1">'Model fit (2)'!$G$75</definedName>
    <definedName name="solver_pre" localSheetId="5" hidden="1">0.000001</definedName>
    <definedName name="solver_pre" localSheetId="6" hidden="1">0.000001</definedName>
    <definedName name="solver_rbv" localSheetId="5" hidden="1">1</definedName>
    <definedName name="solver_rbv" localSheetId="6" hidden="1">1</definedName>
    <definedName name="solver_rel1" localSheetId="5" hidden="1">3</definedName>
    <definedName name="solver_rel1" localSheetId="6" hidden="1">3</definedName>
    <definedName name="solver_rhs1" localSheetId="5" hidden="1">0</definedName>
    <definedName name="solver_rhs1" localSheetId="6" hidden="1">0</definedName>
    <definedName name="solver_rlx" localSheetId="5" hidden="1">2</definedName>
    <definedName name="solver_rlx" localSheetId="6" hidden="1">2</definedName>
    <definedName name="solver_rsd" localSheetId="5" hidden="1">0</definedName>
    <definedName name="solver_rsd" localSheetId="6" hidden="1">0</definedName>
    <definedName name="solver_scl" localSheetId="5" hidden="1">1</definedName>
    <definedName name="solver_scl" localSheetId="6" hidden="1">1</definedName>
    <definedName name="solver_sho" localSheetId="5" hidden="1">2</definedName>
    <definedName name="solver_sho" localSheetId="6" hidden="1">2</definedName>
    <definedName name="solver_ssz" localSheetId="5" hidden="1">100</definedName>
    <definedName name="solver_ssz" localSheetId="6" hidden="1">100</definedName>
    <definedName name="solver_tim" localSheetId="5" hidden="1">2147483647</definedName>
    <definedName name="solver_tim" localSheetId="6" hidden="1">2147483647</definedName>
    <definedName name="solver_tol" localSheetId="5" hidden="1">0.01</definedName>
    <definedName name="solver_tol" localSheetId="6" hidden="1">0.01</definedName>
    <definedName name="solver_typ" localSheetId="5" hidden="1">2</definedName>
    <definedName name="solver_typ" localSheetId="6" hidden="1">2</definedName>
    <definedName name="solver_val" localSheetId="5" hidden="1">0</definedName>
    <definedName name="solver_val" localSheetId="6" hidden="1">0</definedName>
    <definedName name="solver_ver" localSheetId="5" hidden="1">2</definedName>
    <definedName name="solver_ver" localSheetId="6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3" i="2"/>
  <c r="B10" i="3"/>
  <c r="B10" i="2"/>
  <c r="C71" i="8"/>
  <c r="D71" i="8" s="1"/>
  <c r="C72" i="8"/>
  <c r="D72" i="8" s="1"/>
  <c r="C73" i="8"/>
  <c r="D73" i="8" s="1"/>
  <c r="C74" i="8"/>
  <c r="D74" i="8" s="1"/>
  <c r="C75" i="8"/>
  <c r="D75" i="8" s="1"/>
  <c r="C76" i="8"/>
  <c r="D76" i="8" s="1"/>
  <c r="C77" i="8"/>
  <c r="D77" i="8" s="1"/>
  <c r="C78" i="8"/>
  <c r="D78" i="8" s="1"/>
  <c r="C79" i="8"/>
  <c r="D79" i="8" s="1"/>
  <c r="C80" i="8"/>
  <c r="D80" i="8" s="1"/>
  <c r="C70" i="8"/>
  <c r="D70" i="8" s="1"/>
  <c r="C36" i="2"/>
  <c r="C21" i="8"/>
  <c r="C22" i="8"/>
  <c r="C23" i="8"/>
  <c r="C24" i="8"/>
  <c r="C25" i="8"/>
  <c r="C26" i="8"/>
  <c r="C27" i="8"/>
  <c r="C28" i="8"/>
  <c r="C29" i="8"/>
  <c r="C30" i="8"/>
  <c r="C20" i="8"/>
  <c r="C21" i="7"/>
  <c r="C22" i="7"/>
  <c r="C23" i="7"/>
  <c r="C24" i="7"/>
  <c r="C25" i="7"/>
  <c r="C26" i="7"/>
  <c r="C27" i="7"/>
  <c r="C28" i="7"/>
  <c r="C29" i="7"/>
  <c r="C30" i="7"/>
  <c r="C20" i="7"/>
  <c r="G75" i="8" l="1"/>
  <c r="F92" i="4"/>
  <c r="F91" i="4"/>
  <c r="F82" i="4"/>
  <c r="F81" i="4"/>
  <c r="C86" i="4"/>
  <c r="C85" i="4"/>
  <c r="C87" i="4" s="1"/>
  <c r="C88" i="4" s="1"/>
  <c r="C76" i="4"/>
  <c r="C75" i="4"/>
  <c r="C58" i="4"/>
  <c r="C57" i="4"/>
  <c r="C56" i="4"/>
  <c r="C53" i="4"/>
  <c r="C54" i="4" s="1"/>
  <c r="C51" i="4"/>
  <c r="C52" i="4"/>
  <c r="C50" i="4"/>
  <c r="C89" i="4" l="1"/>
  <c r="C77" i="4"/>
  <c r="C78" i="4" s="1"/>
  <c r="C59" i="4"/>
  <c r="C60" i="4" s="1"/>
  <c r="H82" i="4"/>
  <c r="I82" i="4" s="1"/>
  <c r="I75" i="4"/>
  <c r="C79" i="4" l="1"/>
  <c r="C54" i="7"/>
  <c r="C55" i="7"/>
  <c r="C56" i="7"/>
  <c r="C57" i="7"/>
  <c r="C58" i="7"/>
  <c r="C59" i="7"/>
  <c r="D59" i="7" s="1"/>
  <c r="C60" i="7"/>
  <c r="C61" i="7"/>
  <c r="C62" i="7"/>
  <c r="C63" i="7"/>
  <c r="C53" i="7"/>
  <c r="B54" i="7"/>
  <c r="D54" i="7" s="1"/>
  <c r="B55" i="7"/>
  <c r="B56" i="7"/>
  <c r="B57" i="7"/>
  <c r="B58" i="7"/>
  <c r="B59" i="7"/>
  <c r="B60" i="7"/>
  <c r="B61" i="7"/>
  <c r="B62" i="7"/>
  <c r="D62" i="7" s="1"/>
  <c r="B63" i="7"/>
  <c r="B53" i="7"/>
  <c r="B53" i="8"/>
  <c r="B54" i="8"/>
  <c r="B55" i="8"/>
  <c r="B56" i="8"/>
  <c r="B57" i="8"/>
  <c r="B58" i="8"/>
  <c r="B59" i="8"/>
  <c r="B60" i="8"/>
  <c r="B61" i="8"/>
  <c r="B62" i="8"/>
  <c r="B52" i="8"/>
  <c r="C53" i="8"/>
  <c r="C54" i="8"/>
  <c r="C55" i="8"/>
  <c r="C56" i="8"/>
  <c r="C57" i="8"/>
  <c r="C58" i="8"/>
  <c r="C59" i="8"/>
  <c r="C60" i="8"/>
  <c r="C61" i="8"/>
  <c r="C62" i="8"/>
  <c r="C52" i="8"/>
  <c r="D55" i="8" l="1"/>
  <c r="D58" i="7"/>
  <c r="D54" i="8"/>
  <c r="D63" i="7"/>
  <c r="D55" i="7"/>
  <c r="D61" i="8"/>
  <c r="D53" i="8"/>
  <c r="D53" i="7"/>
  <c r="D58" i="8"/>
  <c r="D57" i="8"/>
  <c r="D60" i="7"/>
  <c r="D56" i="7"/>
  <c r="D61" i="7"/>
  <c r="D57" i="7"/>
  <c r="D52" i="8"/>
  <c r="D59" i="8"/>
  <c r="D62" i="8"/>
  <c r="D60" i="8"/>
  <c r="D56" i="8"/>
  <c r="F21" i="6"/>
  <c r="G55" i="8" l="1"/>
  <c r="G56" i="7"/>
  <c r="O37" i="2"/>
  <c r="P37" i="2" s="1"/>
  <c r="O38" i="2"/>
  <c r="P38" i="2" s="1"/>
  <c r="O39" i="2"/>
  <c r="P39" i="2" s="1"/>
  <c r="O40" i="2"/>
  <c r="P40" i="2" s="1"/>
  <c r="O41" i="2"/>
  <c r="P41" i="2" s="1"/>
  <c r="O42" i="2"/>
  <c r="P42" i="2" s="1"/>
  <c r="O43" i="2"/>
  <c r="P43" i="2" s="1"/>
  <c r="O44" i="2"/>
  <c r="P44" i="2" s="1"/>
  <c r="O45" i="2"/>
  <c r="P45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G12" i="6" l="1"/>
  <c r="C37" i="8" l="1"/>
  <c r="C38" i="8"/>
  <c r="C36" i="8"/>
  <c r="B37" i="8"/>
  <c r="B38" i="8"/>
  <c r="D38" i="8" s="1"/>
  <c r="B36" i="8"/>
  <c r="D36" i="8" s="1"/>
  <c r="C46" i="8"/>
  <c r="B46" i="8"/>
  <c r="C45" i="8"/>
  <c r="B45" i="8"/>
  <c r="C44" i="8"/>
  <c r="B44" i="8"/>
  <c r="C43" i="8"/>
  <c r="B43" i="8"/>
  <c r="C42" i="8"/>
  <c r="B42" i="8"/>
  <c r="D42" i="8" s="1"/>
  <c r="C41" i="8"/>
  <c r="B41" i="8"/>
  <c r="C40" i="8"/>
  <c r="B40" i="8"/>
  <c r="C39" i="8"/>
  <c r="B39" i="8"/>
  <c r="D30" i="8"/>
  <c r="D29" i="8"/>
  <c r="D28" i="8"/>
  <c r="D27" i="8"/>
  <c r="D26" i="8"/>
  <c r="D25" i="8"/>
  <c r="D24" i="8"/>
  <c r="D23" i="8"/>
  <c r="D22" i="8"/>
  <c r="D21" i="8"/>
  <c r="D20" i="8"/>
  <c r="C13" i="8"/>
  <c r="D13" i="8" s="1"/>
  <c r="C12" i="8"/>
  <c r="D12" i="8" s="1"/>
  <c r="C11" i="8"/>
  <c r="C10" i="8"/>
  <c r="D10" i="8" s="1"/>
  <c r="C9" i="8"/>
  <c r="D9" i="8" s="1"/>
  <c r="C8" i="8"/>
  <c r="D8" i="8" s="1"/>
  <c r="C7" i="8"/>
  <c r="D7" i="8" s="1"/>
  <c r="C6" i="8"/>
  <c r="C5" i="8"/>
  <c r="D5" i="8" s="1"/>
  <c r="C4" i="8"/>
  <c r="D4" i="8" s="1"/>
  <c r="C3" i="8"/>
  <c r="D3" i="8" s="1"/>
  <c r="D37" i="8" l="1"/>
  <c r="D46" i="8"/>
  <c r="D41" i="8"/>
  <c r="D45" i="8"/>
  <c r="D43" i="8"/>
  <c r="D40" i="8"/>
  <c r="D44" i="8"/>
  <c r="D39" i="8"/>
  <c r="D11" i="8"/>
  <c r="D6" i="8"/>
  <c r="G24" i="8"/>
  <c r="G39" i="8" l="1"/>
  <c r="G7" i="8"/>
  <c r="C3" i="7" l="1"/>
  <c r="D3" i="7" s="1"/>
  <c r="C4" i="7"/>
  <c r="D4" i="7" s="1"/>
  <c r="C5" i="7"/>
  <c r="D5" i="7" s="1"/>
  <c r="C6" i="7"/>
  <c r="D6" i="7" s="1"/>
  <c r="C7" i="7"/>
  <c r="D7" i="7" s="1"/>
  <c r="C8" i="7"/>
  <c r="D8" i="7" s="1"/>
  <c r="C9" i="7"/>
  <c r="D9" i="7" s="1"/>
  <c r="C10" i="7"/>
  <c r="D10" i="7" s="1"/>
  <c r="C11" i="7"/>
  <c r="D11" i="7" s="1"/>
  <c r="C12" i="7"/>
  <c r="D12" i="7" s="1"/>
  <c r="C13" i="7"/>
  <c r="D13" i="7" s="1"/>
  <c r="D20" i="7"/>
  <c r="D21" i="7"/>
  <c r="D22" i="7"/>
  <c r="D23" i="7"/>
  <c r="D24" i="7"/>
  <c r="D25" i="7"/>
  <c r="D26" i="7"/>
  <c r="D27" i="7"/>
  <c r="D28" i="7"/>
  <c r="D29" i="7"/>
  <c r="D30" i="7"/>
  <c r="B36" i="7"/>
  <c r="C36" i="7"/>
  <c r="B37" i="7"/>
  <c r="C37" i="7"/>
  <c r="D37" i="7" s="1"/>
  <c r="B38" i="7"/>
  <c r="C38" i="7"/>
  <c r="B39" i="7"/>
  <c r="C39" i="7"/>
  <c r="B40" i="7"/>
  <c r="C40" i="7"/>
  <c r="B41" i="7"/>
  <c r="C41" i="7"/>
  <c r="B42" i="7"/>
  <c r="C42" i="7"/>
  <c r="B43" i="7"/>
  <c r="C43" i="7"/>
  <c r="B44" i="7"/>
  <c r="C44" i="7"/>
  <c r="B45" i="7"/>
  <c r="C45" i="7"/>
  <c r="B46" i="7"/>
  <c r="C46" i="7"/>
  <c r="D42" i="7" l="1"/>
  <c r="G24" i="7"/>
  <c r="D46" i="7"/>
  <c r="D44" i="7"/>
  <c r="D38" i="7"/>
  <c r="D45" i="7"/>
  <c r="D36" i="7"/>
  <c r="D40" i="7"/>
  <c r="D43" i="7"/>
  <c r="D41" i="7"/>
  <c r="D39" i="7"/>
  <c r="G7" i="7"/>
  <c r="B29" i="6"/>
  <c r="B23" i="6"/>
  <c r="B12" i="6"/>
  <c r="B6" i="6"/>
  <c r="G39" i="7" l="1"/>
  <c r="O36" i="5"/>
  <c r="P36" i="5" s="1"/>
  <c r="Q36" i="5" s="1"/>
  <c r="O37" i="5"/>
  <c r="P37" i="5" s="1"/>
  <c r="Q37" i="5" s="1"/>
  <c r="O38" i="5"/>
  <c r="P38" i="5" s="1"/>
  <c r="Q38" i="5" s="1"/>
  <c r="O39" i="5"/>
  <c r="P39" i="5" s="1"/>
  <c r="Q39" i="5" s="1"/>
  <c r="O40" i="5"/>
  <c r="P40" i="5"/>
  <c r="Q40" i="5" s="1"/>
  <c r="O41" i="5"/>
  <c r="P41" i="5" s="1"/>
  <c r="Q41" i="5" s="1"/>
  <c r="O42" i="5"/>
  <c r="P42" i="5" s="1"/>
  <c r="Q42" i="5" s="1"/>
  <c r="O43" i="5"/>
  <c r="P43" i="5" s="1"/>
  <c r="Q43" i="5" s="1"/>
  <c r="O44" i="5"/>
  <c r="P44" i="5" s="1"/>
  <c r="Q44" i="5" s="1"/>
  <c r="O45" i="5"/>
  <c r="P45" i="5"/>
  <c r="Q45" i="5" s="1"/>
  <c r="O35" i="5"/>
  <c r="P35" i="5" s="1"/>
  <c r="Q35" i="5" s="1"/>
  <c r="I36" i="5"/>
  <c r="J36" i="5" s="1"/>
  <c r="K36" i="5" s="1"/>
  <c r="I37" i="5"/>
  <c r="J37" i="5" s="1"/>
  <c r="K37" i="5" s="1"/>
  <c r="I38" i="5"/>
  <c r="J38" i="5" s="1"/>
  <c r="K38" i="5" s="1"/>
  <c r="I39" i="5"/>
  <c r="J39" i="5" s="1"/>
  <c r="K39" i="5" s="1"/>
  <c r="I40" i="5"/>
  <c r="J40" i="5"/>
  <c r="K40" i="5" s="1"/>
  <c r="I41" i="5"/>
  <c r="J41" i="5" s="1"/>
  <c r="K41" i="5" s="1"/>
  <c r="I42" i="5"/>
  <c r="J42" i="5" s="1"/>
  <c r="K42" i="5" s="1"/>
  <c r="I43" i="5"/>
  <c r="J43" i="5" s="1"/>
  <c r="K43" i="5" s="1"/>
  <c r="I44" i="5"/>
  <c r="J44" i="5" s="1"/>
  <c r="K44" i="5" s="1"/>
  <c r="I45" i="5"/>
  <c r="J45" i="5" s="1"/>
  <c r="K45" i="5" s="1"/>
  <c r="I35" i="5"/>
  <c r="J35" i="5" s="1"/>
  <c r="K35" i="5" s="1"/>
  <c r="B70" i="5"/>
  <c r="S61" i="5"/>
  <c r="S57" i="5"/>
  <c r="C45" i="5"/>
  <c r="D45" i="5" s="1"/>
  <c r="E45" i="5" s="1"/>
  <c r="C44" i="5"/>
  <c r="D44" i="5" s="1"/>
  <c r="E44" i="5" s="1"/>
  <c r="C43" i="5"/>
  <c r="D43" i="5" s="1"/>
  <c r="E43" i="5" s="1"/>
  <c r="C42" i="5"/>
  <c r="D42" i="5" s="1"/>
  <c r="E42" i="5" s="1"/>
  <c r="C41" i="5"/>
  <c r="D41" i="5" s="1"/>
  <c r="E41" i="5" s="1"/>
  <c r="C40" i="5"/>
  <c r="D40" i="5" s="1"/>
  <c r="E40" i="5" s="1"/>
  <c r="C39" i="5"/>
  <c r="D39" i="5" s="1"/>
  <c r="E39" i="5" s="1"/>
  <c r="C38" i="5"/>
  <c r="D38" i="5" s="1"/>
  <c r="E38" i="5" s="1"/>
  <c r="C37" i="5"/>
  <c r="D37" i="5" s="1"/>
  <c r="E37" i="5" s="1"/>
  <c r="C36" i="5"/>
  <c r="D36" i="5" s="1"/>
  <c r="E36" i="5" s="1"/>
  <c r="C35" i="5"/>
  <c r="D35" i="5" s="1"/>
  <c r="E35" i="5" s="1"/>
  <c r="B28" i="5"/>
  <c r="B27" i="5"/>
  <c r="B26" i="5"/>
  <c r="A10" i="5"/>
  <c r="B10" i="5" s="1"/>
  <c r="B3" i="5"/>
  <c r="B29" i="5" l="1"/>
  <c r="B30" i="5"/>
  <c r="S43" i="5"/>
  <c r="S44" i="5"/>
  <c r="S40" i="5"/>
  <c r="T51" i="5"/>
  <c r="S51" i="5"/>
  <c r="T39" i="5"/>
  <c r="S39" i="5"/>
  <c r="S56" i="5"/>
  <c r="T56" i="5"/>
  <c r="T37" i="5"/>
  <c r="S37" i="5"/>
  <c r="T38" i="5"/>
  <c r="S38" i="5"/>
  <c r="T43" i="5"/>
  <c r="T54" i="5"/>
  <c r="S54" i="5"/>
  <c r="T55" i="5"/>
  <c r="S55" i="5"/>
  <c r="T60" i="5"/>
  <c r="S60" i="5"/>
  <c r="T45" i="5"/>
  <c r="S45" i="5"/>
  <c r="S36" i="5"/>
  <c r="T41" i="5"/>
  <c r="S41" i="5"/>
  <c r="T42" i="5"/>
  <c r="S42" i="5"/>
  <c r="S53" i="5"/>
  <c r="T58" i="5"/>
  <c r="S58" i="5"/>
  <c r="T59" i="5"/>
  <c r="S59" i="5"/>
  <c r="T35" i="5"/>
  <c r="S35" i="5"/>
  <c r="S52" i="5"/>
  <c r="T52" i="5"/>
  <c r="T62" i="5"/>
  <c r="S62" i="5"/>
  <c r="T36" i="5"/>
  <c r="T40" i="5"/>
  <c r="T44" i="5"/>
  <c r="T53" i="5"/>
  <c r="T61" i="5"/>
  <c r="T57" i="5"/>
  <c r="O36" i="4"/>
  <c r="P36" i="4" s="1"/>
  <c r="Q36" i="4" s="1"/>
  <c r="O37" i="4"/>
  <c r="P37" i="4" s="1"/>
  <c r="Q37" i="4" s="1"/>
  <c r="O38" i="4"/>
  <c r="P38" i="4" s="1"/>
  <c r="Q38" i="4" s="1"/>
  <c r="O39" i="4"/>
  <c r="P39" i="4" s="1"/>
  <c r="Q39" i="4" s="1"/>
  <c r="O40" i="4"/>
  <c r="P40" i="4" s="1"/>
  <c r="Q40" i="4" s="1"/>
  <c r="O41" i="4"/>
  <c r="P41" i="4" s="1"/>
  <c r="Q41" i="4" s="1"/>
  <c r="O42" i="4"/>
  <c r="P42" i="4" s="1"/>
  <c r="Q42" i="4" s="1"/>
  <c r="O43" i="4"/>
  <c r="P43" i="4" s="1"/>
  <c r="Q43" i="4" s="1"/>
  <c r="O44" i="4"/>
  <c r="P44" i="4" s="1"/>
  <c r="Q44" i="4" s="1"/>
  <c r="O45" i="4"/>
  <c r="P45" i="4" s="1"/>
  <c r="Q45" i="4" s="1"/>
  <c r="O35" i="4"/>
  <c r="P35" i="4" s="1"/>
  <c r="Q35" i="4" s="1"/>
  <c r="I36" i="4"/>
  <c r="J36" i="4" s="1"/>
  <c r="K36" i="4" s="1"/>
  <c r="I37" i="4"/>
  <c r="J37" i="4" s="1"/>
  <c r="K37" i="4" s="1"/>
  <c r="I38" i="4"/>
  <c r="J38" i="4" s="1"/>
  <c r="K38" i="4" s="1"/>
  <c r="I39" i="4"/>
  <c r="J39" i="4" s="1"/>
  <c r="K39" i="4" s="1"/>
  <c r="I40" i="4"/>
  <c r="J40" i="4" s="1"/>
  <c r="K40" i="4" s="1"/>
  <c r="I41" i="4"/>
  <c r="J41" i="4" s="1"/>
  <c r="K41" i="4" s="1"/>
  <c r="I42" i="4"/>
  <c r="J42" i="4" s="1"/>
  <c r="K42" i="4" s="1"/>
  <c r="I43" i="4"/>
  <c r="J43" i="4" s="1"/>
  <c r="K43" i="4" s="1"/>
  <c r="I44" i="4"/>
  <c r="J44" i="4" s="1"/>
  <c r="K44" i="4" s="1"/>
  <c r="I45" i="4"/>
  <c r="J45" i="4" s="1"/>
  <c r="K45" i="4" s="1"/>
  <c r="I35" i="4"/>
  <c r="J35" i="4" s="1"/>
  <c r="K35" i="4" s="1"/>
  <c r="C36" i="4"/>
  <c r="D36" i="4" s="1"/>
  <c r="E36" i="4" s="1"/>
  <c r="C37" i="4"/>
  <c r="D37" i="4" s="1"/>
  <c r="E37" i="4" s="1"/>
  <c r="C38" i="4"/>
  <c r="D38" i="4" s="1"/>
  <c r="E38" i="4" s="1"/>
  <c r="C39" i="4"/>
  <c r="D39" i="4" s="1"/>
  <c r="E39" i="4" s="1"/>
  <c r="C40" i="4"/>
  <c r="D40" i="4" s="1"/>
  <c r="E40" i="4" s="1"/>
  <c r="C41" i="4"/>
  <c r="D41" i="4" s="1"/>
  <c r="E41" i="4" s="1"/>
  <c r="C42" i="4"/>
  <c r="D42" i="4" s="1"/>
  <c r="E42" i="4" s="1"/>
  <c r="C43" i="4"/>
  <c r="D43" i="4" s="1"/>
  <c r="E43" i="4" s="1"/>
  <c r="C44" i="4"/>
  <c r="D44" i="4" s="1"/>
  <c r="E44" i="4" s="1"/>
  <c r="C45" i="4"/>
  <c r="D45" i="4" s="1"/>
  <c r="E45" i="4" s="1"/>
  <c r="C35" i="4"/>
  <c r="D35" i="4" s="1"/>
  <c r="E35" i="4" s="1"/>
  <c r="B70" i="4"/>
  <c r="S61" i="4"/>
  <c r="B28" i="4"/>
  <c r="B27" i="4"/>
  <c r="B26" i="4"/>
  <c r="A10" i="4"/>
  <c r="B10" i="4" s="1"/>
  <c r="B3" i="4"/>
  <c r="S43" i="4" l="1"/>
  <c r="T43" i="4"/>
  <c r="S38" i="4"/>
  <c r="T38" i="4"/>
  <c r="T37" i="4"/>
  <c r="S37" i="4"/>
  <c r="T44" i="4"/>
  <c r="S44" i="4"/>
  <c r="S42" i="4"/>
  <c r="T42" i="4"/>
  <c r="S39" i="4"/>
  <c r="T39" i="4"/>
  <c r="T45" i="4"/>
  <c r="S45" i="4"/>
  <c r="T36" i="4"/>
  <c r="S36" i="4"/>
  <c r="S41" i="4"/>
  <c r="T41" i="4"/>
  <c r="S40" i="4"/>
  <c r="T40" i="4"/>
  <c r="B29" i="4"/>
  <c r="T54" i="4"/>
  <c r="S54" i="4"/>
  <c r="T55" i="4"/>
  <c r="S55" i="4"/>
  <c r="S60" i="4"/>
  <c r="T60" i="4"/>
  <c r="T35" i="4"/>
  <c r="S35" i="4"/>
  <c r="S56" i="4"/>
  <c r="T56" i="4"/>
  <c r="S53" i="4"/>
  <c r="T58" i="4"/>
  <c r="S58" i="4"/>
  <c r="T59" i="4"/>
  <c r="S59" i="4"/>
  <c r="T51" i="4"/>
  <c r="S51" i="4"/>
  <c r="S52" i="4"/>
  <c r="T52" i="4"/>
  <c r="S57" i="4"/>
  <c r="T62" i="4"/>
  <c r="S62" i="4"/>
  <c r="T53" i="4"/>
  <c r="T57" i="4"/>
  <c r="T61" i="4"/>
  <c r="D57" i="3"/>
  <c r="D55" i="3"/>
  <c r="C56" i="3"/>
  <c r="D56" i="3" s="1"/>
  <c r="C57" i="3"/>
  <c r="C58" i="3"/>
  <c r="D58" i="3" s="1"/>
  <c r="C59" i="3"/>
  <c r="D59" i="3" s="1"/>
  <c r="C60" i="3"/>
  <c r="D60" i="3" s="1"/>
  <c r="C61" i="3"/>
  <c r="D61" i="3" s="1"/>
  <c r="C62" i="3"/>
  <c r="D62" i="3" s="1"/>
  <c r="C63" i="3"/>
  <c r="D63" i="3" s="1"/>
  <c r="C64" i="3"/>
  <c r="D64" i="3" s="1"/>
  <c r="C55" i="3"/>
  <c r="O39" i="3"/>
  <c r="P39" i="3" s="1"/>
  <c r="O40" i="3"/>
  <c r="P40" i="3" s="1"/>
  <c r="O41" i="3"/>
  <c r="P41" i="3" s="1"/>
  <c r="O42" i="3"/>
  <c r="P42" i="3" s="1"/>
  <c r="O43" i="3"/>
  <c r="P43" i="3" s="1"/>
  <c r="O44" i="3"/>
  <c r="P44" i="3" s="1"/>
  <c r="O45" i="3"/>
  <c r="P45" i="3" s="1"/>
  <c r="O46" i="3"/>
  <c r="P46" i="3" s="1"/>
  <c r="O47" i="3"/>
  <c r="P47" i="3" s="1"/>
  <c r="O38" i="3"/>
  <c r="I39" i="3"/>
  <c r="J39" i="3" s="1"/>
  <c r="I40" i="3"/>
  <c r="J40" i="3" s="1"/>
  <c r="I41" i="3"/>
  <c r="J41" i="3" s="1"/>
  <c r="I42" i="3"/>
  <c r="J42" i="3" s="1"/>
  <c r="I43" i="3"/>
  <c r="J43" i="3" s="1"/>
  <c r="I44" i="3"/>
  <c r="J44" i="3" s="1"/>
  <c r="I45" i="3"/>
  <c r="J45" i="3" s="1"/>
  <c r="I46" i="3"/>
  <c r="J46" i="3" s="1"/>
  <c r="I47" i="3"/>
  <c r="J47" i="3" s="1"/>
  <c r="I38" i="3"/>
  <c r="C38" i="3"/>
  <c r="C39" i="3"/>
  <c r="D39" i="3" s="1"/>
  <c r="C40" i="3"/>
  <c r="D40" i="3" s="1"/>
  <c r="C41" i="3"/>
  <c r="D41" i="3" s="1"/>
  <c r="C42" i="3"/>
  <c r="D42" i="3" s="1"/>
  <c r="C43" i="3"/>
  <c r="D43" i="3" s="1"/>
  <c r="C44" i="3"/>
  <c r="D44" i="3" s="1"/>
  <c r="C45" i="3"/>
  <c r="D45" i="3" s="1"/>
  <c r="C46" i="3"/>
  <c r="D46" i="3" s="1"/>
  <c r="C47" i="3"/>
  <c r="D47" i="3" s="1"/>
  <c r="V41" i="4" l="1"/>
  <c r="V42" i="4"/>
  <c r="V43" i="4"/>
  <c r="V44" i="4"/>
  <c r="V45" i="4"/>
  <c r="V37" i="4"/>
  <c r="V40" i="4"/>
  <c r="V39" i="4"/>
  <c r="V38" i="4"/>
  <c r="C32" i="3"/>
  <c r="B73" i="3" l="1"/>
  <c r="O64" i="3"/>
  <c r="P64" i="3" s="1"/>
  <c r="Q64" i="3" s="1"/>
  <c r="I64" i="3"/>
  <c r="J64" i="3" s="1"/>
  <c r="K64" i="3" s="1"/>
  <c r="E64" i="3"/>
  <c r="O63" i="3"/>
  <c r="P63" i="3" s="1"/>
  <c r="Q63" i="3" s="1"/>
  <c r="I63" i="3"/>
  <c r="J63" i="3" s="1"/>
  <c r="K63" i="3" s="1"/>
  <c r="E63" i="3"/>
  <c r="O62" i="3"/>
  <c r="P62" i="3" s="1"/>
  <c r="Q62" i="3" s="1"/>
  <c r="J62" i="3"/>
  <c r="K62" i="3" s="1"/>
  <c r="I62" i="3"/>
  <c r="E62" i="3"/>
  <c r="O61" i="3"/>
  <c r="P61" i="3" s="1"/>
  <c r="Q61" i="3" s="1"/>
  <c r="I61" i="3"/>
  <c r="J61" i="3" s="1"/>
  <c r="K61" i="3" s="1"/>
  <c r="E61" i="3"/>
  <c r="O60" i="3"/>
  <c r="P60" i="3" s="1"/>
  <c r="Q60" i="3" s="1"/>
  <c r="I60" i="3"/>
  <c r="J60" i="3" s="1"/>
  <c r="K60" i="3" s="1"/>
  <c r="E60" i="3"/>
  <c r="O59" i="3"/>
  <c r="P59" i="3" s="1"/>
  <c r="Q59" i="3" s="1"/>
  <c r="I59" i="3"/>
  <c r="J59" i="3" s="1"/>
  <c r="K59" i="3" s="1"/>
  <c r="E59" i="3"/>
  <c r="O58" i="3"/>
  <c r="P58" i="3" s="1"/>
  <c r="Q58" i="3" s="1"/>
  <c r="I58" i="3"/>
  <c r="J58" i="3" s="1"/>
  <c r="K58" i="3" s="1"/>
  <c r="E58" i="3"/>
  <c r="O57" i="3"/>
  <c r="P57" i="3" s="1"/>
  <c r="Q57" i="3" s="1"/>
  <c r="I57" i="3"/>
  <c r="J57" i="3" s="1"/>
  <c r="K57" i="3" s="1"/>
  <c r="E57" i="3"/>
  <c r="O56" i="3"/>
  <c r="P56" i="3" s="1"/>
  <c r="Q56" i="3" s="1"/>
  <c r="I56" i="3"/>
  <c r="J56" i="3" s="1"/>
  <c r="K56" i="3" s="1"/>
  <c r="E56" i="3"/>
  <c r="O55" i="3"/>
  <c r="P55" i="3" s="1"/>
  <c r="Q55" i="3" s="1"/>
  <c r="S55" i="3" s="1"/>
  <c r="I55" i="3"/>
  <c r="O54" i="3"/>
  <c r="P54" i="3" s="1"/>
  <c r="Q54" i="3" s="1"/>
  <c r="I54" i="3"/>
  <c r="J54" i="3" s="1"/>
  <c r="K54" i="3" s="1"/>
  <c r="Q47" i="3"/>
  <c r="K47" i="3"/>
  <c r="E47" i="3"/>
  <c r="Q46" i="3"/>
  <c r="K46" i="3"/>
  <c r="E46" i="3"/>
  <c r="Q45" i="3"/>
  <c r="K45" i="3"/>
  <c r="E45" i="3"/>
  <c r="Q44" i="3"/>
  <c r="K44" i="3"/>
  <c r="E44" i="3"/>
  <c r="Q43" i="3"/>
  <c r="K43" i="3"/>
  <c r="E43" i="3"/>
  <c r="Q42" i="3"/>
  <c r="K42" i="3"/>
  <c r="E42" i="3"/>
  <c r="Q41" i="3"/>
  <c r="K41" i="3"/>
  <c r="E41" i="3"/>
  <c r="Q40" i="3"/>
  <c r="K40" i="3"/>
  <c r="E40" i="3"/>
  <c r="Q39" i="3"/>
  <c r="K39" i="3"/>
  <c r="E39" i="3"/>
  <c r="P38" i="3"/>
  <c r="Q38" i="3" s="1"/>
  <c r="J38" i="3"/>
  <c r="K38" i="3" s="1"/>
  <c r="D38" i="3"/>
  <c r="E38" i="3" s="1"/>
  <c r="P37" i="3"/>
  <c r="Q37" i="3" s="1"/>
  <c r="O37" i="3"/>
  <c r="B28" i="3"/>
  <c r="B27" i="3"/>
  <c r="B26" i="3"/>
  <c r="A10" i="3"/>
  <c r="B3" i="3"/>
  <c r="B29" i="3" l="1"/>
  <c r="S64" i="3"/>
  <c r="S56" i="3"/>
  <c r="S62" i="3"/>
  <c r="S60" i="3"/>
  <c r="S59" i="3"/>
  <c r="S61" i="3"/>
  <c r="S63" i="3"/>
  <c r="S57" i="3"/>
  <c r="S58" i="3"/>
  <c r="T41" i="3"/>
  <c r="S41" i="3"/>
  <c r="S45" i="3"/>
  <c r="T45" i="3"/>
  <c r="T46" i="3"/>
  <c r="S46" i="3"/>
  <c r="T44" i="3"/>
  <c r="S44" i="3"/>
  <c r="S43" i="3"/>
  <c r="T43" i="3"/>
  <c r="T40" i="3"/>
  <c r="S40" i="3"/>
  <c r="S39" i="3"/>
  <c r="T39" i="3"/>
  <c r="T42" i="3"/>
  <c r="S42" i="3"/>
  <c r="S47" i="3"/>
  <c r="T47" i="3"/>
  <c r="S38" i="3"/>
  <c r="T38" i="3"/>
  <c r="T61" i="3"/>
  <c r="V61" i="3" s="1"/>
  <c r="T59" i="3"/>
  <c r="V59" i="3" s="1"/>
  <c r="T57" i="3"/>
  <c r="V57" i="3" s="1"/>
  <c r="T58" i="3"/>
  <c r="V58" i="3" s="1"/>
  <c r="T63" i="3"/>
  <c r="T37" i="3"/>
  <c r="S37" i="3"/>
  <c r="T62" i="3"/>
  <c r="V62" i="3" s="1"/>
  <c r="T54" i="3"/>
  <c r="S54" i="3"/>
  <c r="T55" i="3"/>
  <c r="T64" i="3"/>
  <c r="V64" i="3" s="1"/>
  <c r="T56" i="3"/>
  <c r="T60" i="3"/>
  <c r="K44" i="2"/>
  <c r="K41" i="2"/>
  <c r="E41" i="2"/>
  <c r="B71" i="2"/>
  <c r="Q45" i="2"/>
  <c r="K45" i="2"/>
  <c r="E45" i="2"/>
  <c r="S45" i="2" s="1"/>
  <c r="Q44" i="2"/>
  <c r="E44" i="2"/>
  <c r="Q43" i="2"/>
  <c r="K43" i="2"/>
  <c r="E43" i="2"/>
  <c r="Q41" i="2"/>
  <c r="O36" i="2"/>
  <c r="P36" i="2" s="1"/>
  <c r="Q36" i="2" s="1"/>
  <c r="I36" i="2"/>
  <c r="J36" i="2" s="1"/>
  <c r="K36" i="2" s="1"/>
  <c r="D36" i="2"/>
  <c r="E36" i="2" s="1"/>
  <c r="V60" i="3" l="1"/>
  <c r="V63" i="3"/>
  <c r="S58" i="2"/>
  <c r="T58" i="2"/>
  <c r="S41" i="2"/>
  <c r="S44" i="2"/>
  <c r="S43" i="2"/>
  <c r="S36" i="2"/>
  <c r="S46" i="2"/>
  <c r="S63" i="2"/>
  <c r="T63" i="2"/>
  <c r="S62" i="2"/>
  <c r="T62" i="2"/>
  <c r="T46" i="2"/>
  <c r="T45" i="2"/>
  <c r="B27" i="2"/>
  <c r="B28" i="2"/>
  <c r="B26" i="2"/>
  <c r="B29" i="2" l="1"/>
  <c r="E37" i="2"/>
  <c r="E38" i="2"/>
  <c r="E39" i="2"/>
  <c r="E40" i="2"/>
  <c r="E42" i="2"/>
  <c r="K37" i="2"/>
  <c r="K38" i="2"/>
  <c r="K39" i="2"/>
  <c r="K40" i="2"/>
  <c r="K42" i="2"/>
  <c r="Q37" i="2"/>
  <c r="Q38" i="2"/>
  <c r="Q39" i="2"/>
  <c r="Q40" i="2"/>
  <c r="Q42" i="2"/>
  <c r="A10" i="2"/>
  <c r="B3" i="2"/>
  <c r="O35" i="2"/>
  <c r="P35" i="2" s="1"/>
  <c r="Q35" i="2" s="1"/>
  <c r="S37" i="2" l="1"/>
  <c r="S42" i="2"/>
  <c r="S40" i="2"/>
  <c r="S39" i="2"/>
  <c r="S38" i="2"/>
  <c r="T43" i="2"/>
  <c r="S52" i="2"/>
  <c r="T52" i="2"/>
  <c r="T37" i="2"/>
  <c r="T39" i="2"/>
  <c r="T42" i="2"/>
  <c r="T40" i="2"/>
  <c r="T38" i="2"/>
  <c r="T44" i="2"/>
  <c r="T57" i="2"/>
  <c r="T35" i="2"/>
  <c r="S56" i="2"/>
  <c r="T56" i="2"/>
  <c r="S60" i="2"/>
  <c r="T60" i="2"/>
  <c r="S59" i="2"/>
  <c r="T59" i="2"/>
  <c r="S61" i="2"/>
  <c r="T61" i="2"/>
  <c r="S54" i="2"/>
  <c r="T54" i="2"/>
  <c r="S53" i="2"/>
  <c r="T53" i="2"/>
  <c r="T55" i="2"/>
  <c r="S55" i="2"/>
  <c r="S35" i="2"/>
  <c r="T36" i="2"/>
  <c r="S57" i="2" l="1"/>
</calcChain>
</file>

<file path=xl/sharedStrings.xml><?xml version="1.0" encoding="utf-8"?>
<sst xmlns="http://schemas.openxmlformats.org/spreadsheetml/2006/main" count="384" uniqueCount="85">
  <si>
    <t>SD</t>
  </si>
  <si>
    <t>AVE.</t>
  </si>
  <si>
    <t>%</t>
  </si>
  <si>
    <t>MASS</t>
  </si>
  <si>
    <t>CON</t>
  </si>
  <si>
    <t>PA</t>
  </si>
  <si>
    <t>TIME</t>
  </si>
  <si>
    <t>DT6</t>
  </si>
  <si>
    <t>DT5</t>
  </si>
  <si>
    <t>DT4</t>
  </si>
  <si>
    <t>ITZ-C8</t>
  </si>
  <si>
    <t>DT3</t>
  </si>
  <si>
    <t>DT2</t>
  </si>
  <si>
    <t>DT1</t>
  </si>
  <si>
    <t>ITZ</t>
  </si>
  <si>
    <t>LOD</t>
  </si>
  <si>
    <t>Area</t>
  </si>
  <si>
    <t>Conc.</t>
  </si>
  <si>
    <t>Cal</t>
  </si>
  <si>
    <t>180min</t>
  </si>
  <si>
    <t>T-TEST</t>
  </si>
  <si>
    <t>conc.</t>
  </si>
  <si>
    <t>ITZ solubility</t>
  </si>
  <si>
    <t>in 0.1N HCl</t>
  </si>
  <si>
    <t>ITZ nano (centrifuge)</t>
  </si>
  <si>
    <t>sample</t>
  </si>
  <si>
    <t>medium</t>
  </si>
  <si>
    <t>speed</t>
  </si>
  <si>
    <t>temp</t>
  </si>
  <si>
    <t>Column1</t>
  </si>
  <si>
    <t>Column2</t>
  </si>
  <si>
    <t>10mL 5ITZ-5TPGS-1CHOL</t>
  </si>
  <si>
    <t>890mL 0.1N HCl</t>
  </si>
  <si>
    <t>37 degrees</t>
  </si>
  <si>
    <t>method</t>
  </si>
  <si>
    <t xml:space="preserve"> 0.45 um filter &amp; centrfugal ultrafiltration (5mL, 4000g for 4 min)</t>
  </si>
  <si>
    <t xml:space="preserve"> 0.2 um filter &amp; centrfugal ultrafiltration (5mL, 4000g for 4 min)</t>
  </si>
  <si>
    <t>ITZ nano (0.45 filter)</t>
  </si>
  <si>
    <t>ITZ nano (0.2 filter)</t>
  </si>
  <si>
    <t>Total</t>
  </si>
  <si>
    <t>Conc</t>
  </si>
  <si>
    <t>dialysis</t>
  </si>
  <si>
    <t>ITZ nano (dialysis)</t>
  </si>
  <si>
    <t>445mL 0.1N HCl</t>
  </si>
  <si>
    <t>5mL 5ITZ-5TPGS-1CHOL</t>
  </si>
  <si>
    <t>75 rpm</t>
  </si>
  <si>
    <t>powder</t>
  </si>
  <si>
    <t>ITZ nano (powder)</t>
  </si>
  <si>
    <t>centrifuge</t>
  </si>
  <si>
    <t>15min</t>
  </si>
  <si>
    <t>45min</t>
  </si>
  <si>
    <t>90min</t>
  </si>
  <si>
    <t>360min</t>
  </si>
  <si>
    <t>Column 2</t>
  </si>
  <si>
    <t>Column 1</t>
  </si>
  <si>
    <t>SS</t>
  </si>
  <si>
    <t>R2</t>
  </si>
  <si>
    <t>k</t>
  </si>
  <si>
    <t>f1'</t>
  </si>
  <si>
    <t>f1</t>
  </si>
  <si>
    <t>Time</t>
  </si>
  <si>
    <r>
      <t>f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=</t>
    </r>
    <r>
      <rPr>
        <sz val="7"/>
        <color theme="1"/>
        <rFont val="Cambria Math"/>
        <family val="1"/>
      </rPr>
      <t xml:space="preserve">3 </t>
    </r>
    <r>
      <rPr>
        <sz val="10"/>
        <color theme="1"/>
        <rFont val="Cambria Math"/>
        <family val="1"/>
      </rPr>
      <t>1− 1−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3 </t>
    </r>
    <r>
      <rPr>
        <sz val="10"/>
        <color theme="1"/>
        <rFont val="Cambria Math"/>
        <family val="1"/>
      </rPr>
      <t xml:space="preserve">− </t>
    </r>
    <r>
      <rPr>
        <sz val="7"/>
        <color theme="1"/>
        <rFont val="Cambria Math"/>
        <family val="1"/>
      </rP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 xml:space="preserve">=kt </t>
    </r>
  </si>
  <si>
    <t xml:space="preserve">Baker-Lonsdale model </t>
  </si>
  <si>
    <t>n</t>
  </si>
  <si>
    <t>F'</t>
  </si>
  <si>
    <t>F</t>
  </si>
  <si>
    <r>
      <t xml:space="preserve"> 1 - [1 − k</t>
    </r>
    <r>
      <rPr>
        <sz val="7"/>
        <color theme="1"/>
        <rFont val="Cambria Math"/>
        <family val="1"/>
      </rPr>
      <t xml:space="preserve">1 </t>
    </r>
    <r>
      <rPr>
        <sz val="10"/>
        <color theme="1"/>
        <rFont val="Cambria Math"/>
        <family val="1"/>
      </rPr>
      <t>t (t − l) ]^</t>
    </r>
    <r>
      <rPr>
        <sz val="7"/>
        <color theme="1"/>
        <rFont val="Cambria Math"/>
        <family val="1"/>
      </rPr>
      <t xml:space="preserve">n </t>
    </r>
  </si>
  <si>
    <r>
      <t xml:space="preserve">M </t>
    </r>
    <r>
      <rPr>
        <sz val="6"/>
        <color theme="1"/>
        <rFont val="Cambria Math"/>
        <family val="1"/>
      </rPr>
      <t xml:space="preserve">t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</si>
  <si>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t xml:space="preserve">Hopfenberg model </t>
  </si>
  <si>
    <t>Square of Dif</t>
  </si>
  <si>
    <r>
      <t>M</t>
    </r>
    <r>
      <rPr>
        <sz val="6"/>
        <color theme="1"/>
        <rFont val="Cambria Math"/>
        <family val="1"/>
      </rPr>
      <t xml:space="preserve">t </t>
    </r>
    <r>
      <rPr>
        <sz val="10"/>
        <color theme="1"/>
        <rFont val="Cambria Math"/>
        <family val="1"/>
      </rPr>
      <t>= a𝑡</t>
    </r>
    <r>
      <rPr>
        <sz val="7"/>
        <color theme="1"/>
        <rFont val="Cambria Math"/>
        <family val="1"/>
      </rPr>
      <t xml:space="preserve">n </t>
    </r>
    <r>
      <rPr>
        <sz val="10"/>
        <color theme="1"/>
        <rFont val="Times New Roman"/>
        <family val="1"/>
      </rPr>
      <t xml:space="preserve">-----------------------------------------------(26) </t>
    </r>
    <r>
      <rPr>
        <sz val="7"/>
        <color theme="1"/>
        <rFont val="Cambria Math"/>
        <family val="1"/>
      </rPr>
      <t>M</t>
    </r>
    <r>
      <rPr>
        <sz val="6"/>
        <color theme="1"/>
        <rFont val="Times New Roman,Italic"/>
      </rPr>
      <t xml:space="preserve">∞ </t>
    </r>
  </si>
  <si>
    <t xml:space="preserve">Korsemeyer- peppas model </t>
  </si>
  <si>
    <t>Dialysis</t>
  </si>
  <si>
    <t>Centrifuge</t>
  </si>
  <si>
    <t>RSD</t>
  </si>
  <si>
    <r>
      <t>Hixson</t>
    </r>
    <r>
      <rPr>
        <sz val="10"/>
        <color theme="1"/>
        <rFont val="Times"/>
        <family val="1"/>
      </rPr>
      <t>–</t>
    </r>
    <r>
      <rPr>
        <i/>
        <sz val="10"/>
        <color theme="1"/>
        <rFont val="Times"/>
        <family val="1"/>
      </rPr>
      <t>Crowell model</t>
    </r>
  </si>
  <si>
    <t>W01/3-Wt1/3= K t</t>
  </si>
  <si>
    <t>1h</t>
  </si>
  <si>
    <t>3h</t>
  </si>
  <si>
    <t>Intensity</t>
  </si>
  <si>
    <t>t-test</t>
  </si>
  <si>
    <t>Peppas-Sahlin</t>
  </si>
  <si>
    <t>k1</t>
  </si>
  <si>
    <t>k2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</si>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</sst>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mbria Math"/>
      <family val="1"/>
    </font>
    <font>
      <sz val="7"/>
      <color theme="1"/>
      <name val="Cambria Math"/>
      <family val="1"/>
    </font>
    <font>
      <sz val="6"/>
      <color theme="1"/>
      <name val="Cambria Math"/>
      <family val="1"/>
    </font>
    <font>
      <sz val="10"/>
      <color theme="1"/>
      <name val="Times New Roman,BoldItalic"/>
    </font>
    <font>
      <sz val="6"/>
      <color theme="1"/>
      <name val="Times New Roman,Italic"/>
    </font>
    <font>
      <sz val="10"/>
      <color theme="1"/>
      <name val="Times New Roman"/>
      <family val="1"/>
    </font>
    <font>
      <b/>
      <sz val="16"/>
      <color theme="1"/>
      <name val="Calibri"/>
      <family val="2"/>
      <scheme val="minor"/>
    </font>
    <font>
      <i/>
      <sz val="10"/>
      <color theme="1"/>
      <name val="Times"/>
      <family val="1"/>
    </font>
    <font>
      <sz val="10"/>
      <color theme="1"/>
      <name val="Times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2" fontId="1" fillId="0" borderId="0" xfId="1" applyNumberFormat="1" applyBorder="1" applyAlignment="1">
      <alignment horizontal="center"/>
    </xf>
    <xf numFmtId="0" fontId="1" fillId="0" borderId="0" xfId="1" applyAlignment="1">
      <alignment horizontal="center"/>
    </xf>
    <xf numFmtId="2" fontId="1" fillId="0" borderId="1" xfId="1" applyNumberFormat="1" applyBorder="1" applyAlignment="1">
      <alignment horizontal="center"/>
    </xf>
    <xf numFmtId="2" fontId="1" fillId="0" borderId="2" xfId="1" applyNumberFormat="1" applyBorder="1" applyAlignment="1">
      <alignment horizontal="center"/>
    </xf>
    <xf numFmtId="164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165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0" xfId="1" applyNumberForma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2" fontId="1" fillId="0" borderId="1" xfId="1" applyNumberFormat="1" applyFill="1" applyBorder="1" applyAlignment="1">
      <alignment horizontal="center"/>
    </xf>
    <xf numFmtId="2" fontId="1" fillId="0" borderId="2" xfId="1" applyNumberFormat="1" applyFill="1" applyBorder="1" applyAlignment="1">
      <alignment horizontal="center"/>
    </xf>
    <xf numFmtId="0" fontId="4" fillId="0" borderId="0" xfId="0" applyFont="1"/>
    <xf numFmtId="0" fontId="0" fillId="0" borderId="6" xfId="0" applyFill="1" applyBorder="1" applyAlignment="1"/>
    <xf numFmtId="0" fontId="0" fillId="0" borderId="0" xfId="0" applyFill="1" applyBorder="1" applyAlignment="1"/>
    <xf numFmtId="0" fontId="5" fillId="0" borderId="7" xfId="0" applyFont="1" applyFill="1" applyBorder="1" applyAlignment="1">
      <alignment horizontal="center"/>
    </xf>
    <xf numFmtId="0" fontId="0" fillId="2" borderId="0" xfId="0" applyFill="1"/>
    <xf numFmtId="0" fontId="6" fillId="0" borderId="0" xfId="0" applyFont="1"/>
    <xf numFmtId="0" fontId="9" fillId="0" borderId="0" xfId="0" applyFont="1"/>
    <xf numFmtId="0" fontId="7" fillId="0" borderId="0" xfId="0" applyFont="1"/>
    <xf numFmtId="2" fontId="0" fillId="0" borderId="0" xfId="0" applyNumberFormat="1"/>
    <xf numFmtId="0" fontId="12" fillId="0" borderId="0" xfId="0" applyFont="1"/>
    <xf numFmtId="0" fontId="0" fillId="0" borderId="0" xfId="0" applyFill="1"/>
    <xf numFmtId="0" fontId="13" fillId="0" borderId="0" xfId="0" applyFont="1"/>
    <xf numFmtId="0" fontId="15" fillId="0" borderId="0" xfId="0" applyFont="1"/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</cellXfs>
  <cellStyles count="2">
    <cellStyle name="Normal" xfId="0" builtinId="0"/>
    <cellStyle name="Normal 2" xfId="1" xr:uid="{71595E9D-A32B-8442-819D-4DFA832B1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'31 May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'31 May 2019'!$B$3:$B$7</c:f>
              <c:numCache>
                <c:formatCode>General</c:formatCode>
                <c:ptCount val="5"/>
                <c:pt idx="0">
                  <c:v>65.713333333333338</c:v>
                </c:pt>
                <c:pt idx="1">
                  <c:v>128.90100000000001</c:v>
                </c:pt>
                <c:pt idx="2">
                  <c:v>1299.7260000000001</c:v>
                </c:pt>
                <c:pt idx="3">
                  <c:v>6527.3069999999998</c:v>
                </c:pt>
                <c:pt idx="4">
                  <c:v>12915.986999999999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1F-524B-84CC-4423D5221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(2)'!$B$3:$B$13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8.6054036514129013</c:v>
                </c:pt>
                <c:pt idx="4">
                  <c:v>8.6620281865927655</c:v>
                </c:pt>
                <c:pt idx="5">
                  <c:v>15.003905389426345</c:v>
                </c:pt>
                <c:pt idx="6">
                  <c:v>15.251244253986286</c:v>
                </c:pt>
                <c:pt idx="7">
                  <c:v>20.615819234271537</c:v>
                </c:pt>
                <c:pt idx="8">
                  <c:v>21.396755594427134</c:v>
                </c:pt>
                <c:pt idx="9">
                  <c:v>28.320967920626391</c:v>
                </c:pt>
                <c:pt idx="10">
                  <c:v>28.115967302931068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32-AE4D-B22F-81685BB6474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(2)'!$C$3:$C$13</c:f>
              <c:numCache>
                <c:formatCode>General</c:formatCode>
                <c:ptCount val="11"/>
                <c:pt idx="0">
                  <c:v>0</c:v>
                </c:pt>
                <c:pt idx="1">
                  <c:v>3.7357189146334373</c:v>
                </c:pt>
                <c:pt idx="2">
                  <c:v>6.5453454476954578</c:v>
                </c:pt>
                <c:pt idx="3">
                  <c:v>9.3239685925131379</c:v>
                </c:pt>
                <c:pt idx="4">
                  <c:v>11.468086333222269</c:v>
                </c:pt>
                <c:pt idx="5">
                  <c:v>13.282169903619181</c:v>
                </c:pt>
                <c:pt idx="6">
                  <c:v>14.884667982508647</c:v>
                </c:pt>
                <c:pt idx="7">
                  <c:v>16.336506245799718</c:v>
                </c:pt>
                <c:pt idx="8">
                  <c:v>18.920702659837769</c:v>
                </c:pt>
                <c:pt idx="9">
                  <c:v>23.271662644003271</c:v>
                </c:pt>
                <c:pt idx="10">
                  <c:v>33.150924320525441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32-AE4D-B22F-81685BB6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(2)'!$B$20:$B$30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8.6054036514129013</c:v>
                </c:pt>
                <c:pt idx="4">
                  <c:v>8.6620281865927655</c:v>
                </c:pt>
                <c:pt idx="5">
                  <c:v>15.003905389426345</c:v>
                </c:pt>
                <c:pt idx="6">
                  <c:v>15.251244253986286</c:v>
                </c:pt>
                <c:pt idx="7">
                  <c:v>20.615819234271537</c:v>
                </c:pt>
                <c:pt idx="8">
                  <c:v>21.396755594427134</c:v>
                </c:pt>
                <c:pt idx="9">
                  <c:v>28.320967920626391</c:v>
                </c:pt>
                <c:pt idx="10">
                  <c:v>28.115967302931068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5-8746-BA63-1C258F8A20D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(2)'!$C$20:$C$30</c:f>
              <c:numCache>
                <c:formatCode>General</c:formatCode>
                <c:ptCount val="11"/>
                <c:pt idx="0">
                  <c:v>0</c:v>
                </c:pt>
                <c:pt idx="1">
                  <c:v>0.15997768552603797</c:v>
                </c:pt>
                <c:pt idx="2">
                  <c:v>0.42688628441624832</c:v>
                </c:pt>
                <c:pt idx="3">
                  <c:v>0.71082423772088721</c:v>
                </c:pt>
                <c:pt idx="4">
                  <c:v>0.88095943358709372</c:v>
                </c:pt>
                <c:pt idx="5">
                  <c:v>0.96643744568804457</c:v>
                </c:pt>
                <c:pt idx="6">
                  <c:v>0.99640384769691626</c:v>
                </c:pt>
                <c:pt idx="7">
                  <c:v>1.0000042132868854</c:v>
                </c:pt>
                <c:pt idx="8">
                  <c:v>1.0446891299028229</c:v>
                </c:pt>
                <c:pt idx="9">
                  <c:v>2.1000717677276404</c:v>
                </c:pt>
                <c:pt idx="10">
                  <c:v>29.782172553695386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A5-8746-BA63-1C258F8A2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(2)'!$A$36:$A$45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</c:numCache>
            </c:numRef>
          </c:xVal>
          <c:yVal>
            <c:numRef>
              <c:f>'Model fit (2)'!$B$36:$B$45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1.2839348722551991E-3</c:v>
                </c:pt>
                <c:pt idx="4">
                  <c:v>1.3012367331452779E-3</c:v>
                </c:pt>
                <c:pt idx="5">
                  <c:v>4.0265045643928243E-3</c:v>
                </c:pt>
                <c:pt idx="6">
                  <c:v>4.1654991881835413E-3</c:v>
                </c:pt>
                <c:pt idx="7">
                  <c:v>7.8232452572776223E-3</c:v>
                </c:pt>
                <c:pt idx="8">
                  <c:v>8.4618495517120029E-3</c:v>
                </c:pt>
                <c:pt idx="9">
                  <c:v>1.5394784994160193E-2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BE-6947-BD73-6F0BB219670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 (2)'!$A$36:$A$45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</c:numCache>
            </c:numRef>
          </c:xVal>
          <c:yVal>
            <c:numRef>
              <c:f>'Model fit (2)'!$C$36:$C$45</c:f>
              <c:numCache>
                <c:formatCode>General</c:formatCode>
                <c:ptCount val="10"/>
                <c:pt idx="0">
                  <c:v>0</c:v>
                </c:pt>
                <c:pt idx="1">
                  <c:v>3.8199492796774071E-4</c:v>
                </c:pt>
                <c:pt idx="2">
                  <c:v>1.1459847839032221E-3</c:v>
                </c:pt>
                <c:pt idx="3">
                  <c:v>2.2919695678064443E-3</c:v>
                </c:pt>
                <c:pt idx="4">
                  <c:v>3.4379543517096662E-3</c:v>
                </c:pt>
                <c:pt idx="5">
                  <c:v>4.5839391356128885E-3</c:v>
                </c:pt>
                <c:pt idx="6">
                  <c:v>5.7299239195161104E-3</c:v>
                </c:pt>
                <c:pt idx="7">
                  <c:v>6.8759087034193324E-3</c:v>
                </c:pt>
                <c:pt idx="8">
                  <c:v>9.167878271225777E-3</c:v>
                </c:pt>
                <c:pt idx="9">
                  <c:v>1.3751817406838665E-2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BE-6947-BD73-6F0BB2196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 (2)'!$A$52:$A$62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 (2)'!$B$52:$B$62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4.0104483101990551E-2</c:v>
                </c:pt>
                <c:pt idx="4">
                  <c:v>4.0376548157828429E-2</c:v>
                </c:pt>
                <c:pt idx="5">
                  <c:v>7.158770318349994E-2</c:v>
                </c:pt>
                <c:pt idx="6">
                  <c:v>7.2835968413811347E-2</c:v>
                </c:pt>
                <c:pt idx="7">
                  <c:v>0.10052893767037752</c:v>
                </c:pt>
                <c:pt idx="8">
                  <c:v>0.1046633584381782</c:v>
                </c:pt>
                <c:pt idx="9">
                  <c:v>0.14257868679110475</c:v>
                </c:pt>
                <c:pt idx="10">
                  <c:v>0.14142184953981984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80-A141-BBA7-F6BEDC13E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303695"/>
        <c:axId val="593340415"/>
      </c:scatterChart>
      <c:valAx>
        <c:axId val="59230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0415"/>
        <c:crosses val="autoZero"/>
        <c:crossBetween val="midCat"/>
      </c:valAx>
      <c:valAx>
        <c:axId val="59334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303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'21 Jun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'21 Jun 2019'!$B$3:$B$7</c:f>
              <c:numCache>
                <c:formatCode>General</c:formatCode>
                <c:ptCount val="5"/>
                <c:pt idx="0">
                  <c:v>63.266666666666673</c:v>
                </c:pt>
                <c:pt idx="1">
                  <c:v>129.1</c:v>
                </c:pt>
                <c:pt idx="2">
                  <c:v>1282.5999999999999</c:v>
                </c:pt>
                <c:pt idx="3">
                  <c:v>6440.3</c:v>
                </c:pt>
                <c:pt idx="4">
                  <c:v>12844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20-5340-A043-1D3CBD92B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'26 Jun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'26 Jun 2019'!$B$3:$B$7</c:f>
              <c:numCache>
                <c:formatCode>General</c:formatCode>
                <c:ptCount val="5"/>
                <c:pt idx="0">
                  <c:v>65.713333333333338</c:v>
                </c:pt>
                <c:pt idx="1">
                  <c:v>128.90100000000001</c:v>
                </c:pt>
                <c:pt idx="2">
                  <c:v>1299.7260000000001</c:v>
                </c:pt>
                <c:pt idx="3">
                  <c:v>6527.3069999999998</c:v>
                </c:pt>
                <c:pt idx="4">
                  <c:v>12915.986999999999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25-E342-B4A8-9CBEBCB2B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'26 Jun 2019'!$H$75:$H$79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'26 Jun 2019'!$I$75:$I$79</c:f>
              <c:numCache>
                <c:formatCode>General</c:formatCode>
                <c:ptCount val="5"/>
                <c:pt idx="0">
                  <c:v>60.433333333333337</c:v>
                </c:pt>
                <c:pt idx="1">
                  <c:v>124</c:v>
                </c:pt>
                <c:pt idx="2">
                  <c:v>1209.8</c:v>
                </c:pt>
                <c:pt idx="3">
                  <c:v>6062.1</c:v>
                </c:pt>
                <c:pt idx="4">
                  <c:v>12081.4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24-904B-8DE4-9AE080C07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450448"/>
        <c:axId val="522061616"/>
      </c:scatterChart>
      <c:valAx>
        <c:axId val="5694504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061616"/>
        <c:crosses val="autoZero"/>
        <c:crossBetween val="midCat"/>
      </c:valAx>
      <c:valAx>
        <c:axId val="52206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5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'27 Aug 2019'!$A$3:$A$7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'27 Aug 2019'!$B$3:$B$7</c:f>
              <c:numCache>
                <c:formatCode>General</c:formatCode>
                <c:ptCount val="5"/>
                <c:pt idx="0">
                  <c:v>65.713333333333338</c:v>
                </c:pt>
                <c:pt idx="1">
                  <c:v>128.90100000000001</c:v>
                </c:pt>
                <c:pt idx="2">
                  <c:v>1299.7260000000001</c:v>
                </c:pt>
                <c:pt idx="3">
                  <c:v>6527.3069999999998</c:v>
                </c:pt>
                <c:pt idx="4">
                  <c:v>12915.986999999999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6C-5C4C-99D6-EEF2407FF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fit'!$B$3:$B$13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2.7255660880246602</c:v>
                </c:pt>
                <c:pt idx="3">
                  <c:v>6.4245486360581268</c:v>
                </c:pt>
                <c:pt idx="4">
                  <c:v>9.8732240943750433</c:v>
                </c:pt>
                <c:pt idx="5">
                  <c:v>14.693953229656756</c:v>
                </c:pt>
                <c:pt idx="6">
                  <c:v>18.69886666512156</c:v>
                </c:pt>
                <c:pt idx="7">
                  <c:v>22.14754212343848</c:v>
                </c:pt>
                <c:pt idx="8">
                  <c:v>27.54305050177301</c:v>
                </c:pt>
                <c:pt idx="9">
                  <c:v>35.49725357498783</c:v>
                </c:pt>
                <c:pt idx="10">
                  <c:v>48.429786543676272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3-6A46-8ECE-0E83F49AEFB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fit'!$A$3:$A$13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fit'!$C$3:$C$13</c:f>
              <c:numCache>
                <c:formatCode>General</c:formatCode>
                <c:ptCount val="11"/>
                <c:pt idx="0">
                  <c:v>0</c:v>
                </c:pt>
                <c:pt idx="1">
                  <c:v>2.8081709534856838</c:v>
                </c:pt>
                <c:pt idx="2">
                  <c:v>5.9251448036091752</c:v>
                </c:pt>
                <c:pt idx="3">
                  <c:v>9.4906068448803467</c:v>
                </c:pt>
                <c:pt idx="4">
                  <c:v>12.501853172492686</c:v>
                </c:pt>
                <c:pt idx="5">
                  <c:v>15.201589373684925</c:v>
                </c:pt>
                <c:pt idx="6">
                  <c:v>17.691061015498192</c:v>
                </c:pt>
                <c:pt idx="7">
                  <c:v>20.024856307355552</c:v>
                </c:pt>
                <c:pt idx="8">
                  <c:v>24.349161572401421</c:v>
                </c:pt>
                <c:pt idx="9">
                  <c:v>32.07483439435444</c:v>
                </c:pt>
                <c:pt idx="10">
                  <c:v>51.375899314062181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83-6A46-8ECE-0E83F49AE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73504"/>
        <c:axId val="715291872"/>
      </c:scatterChart>
      <c:valAx>
        <c:axId val="71527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91872"/>
        <c:crosses val="autoZero"/>
        <c:crossBetween val="midCat"/>
      </c:valAx>
      <c:valAx>
        <c:axId val="7152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27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fit'!$B$20:$B$30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2.7255660880246602</c:v>
                </c:pt>
                <c:pt idx="3">
                  <c:v>6.4245486360581268</c:v>
                </c:pt>
                <c:pt idx="4">
                  <c:v>9.8732240943750433</c:v>
                </c:pt>
                <c:pt idx="5">
                  <c:v>14.693953229656756</c:v>
                </c:pt>
                <c:pt idx="6">
                  <c:v>18.69886666512156</c:v>
                </c:pt>
                <c:pt idx="7">
                  <c:v>22.14754212343848</c:v>
                </c:pt>
                <c:pt idx="8">
                  <c:v>27.54305050177301</c:v>
                </c:pt>
                <c:pt idx="9">
                  <c:v>35.49725357498783</c:v>
                </c:pt>
                <c:pt idx="10">
                  <c:v>48.429786543676272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02-C04F-84E9-E6B340DC41B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fit'!$A$20:$A$30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fit'!$C$20:$C$30</c:f>
              <c:numCache>
                <c:formatCode>General</c:formatCode>
                <c:ptCount val="11"/>
                <c:pt idx="0">
                  <c:v>0</c:v>
                </c:pt>
                <c:pt idx="1">
                  <c:v>0.18249810469258021</c:v>
                </c:pt>
                <c:pt idx="2">
                  <c:v>0.47811409400396043</c:v>
                </c:pt>
                <c:pt idx="3">
                  <c:v>0.77275964896795002</c:v>
                </c:pt>
                <c:pt idx="4">
                  <c:v>0.92834648301843226</c:v>
                </c:pt>
                <c:pt idx="5">
                  <c:v>0.98928441428187064</c:v>
                </c:pt>
                <c:pt idx="6">
                  <c:v>0.99998326088472911</c:v>
                </c:pt>
                <c:pt idx="7">
                  <c:v>1.0048528409534712</c:v>
                </c:pt>
                <c:pt idx="8">
                  <c:v>1.1747434739944607</c:v>
                </c:pt>
                <c:pt idx="9">
                  <c:v>3.3986055392314447</c:v>
                </c:pt>
                <c:pt idx="10">
                  <c:v>50.722893369025506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02-C04F-84E9-E6B340DC4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5296"/>
        <c:axId val="866099840"/>
      </c:scatterChart>
      <c:valAx>
        <c:axId val="8462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099840"/>
        <c:crosses val="autoZero"/>
        <c:crossBetween val="midCat"/>
      </c:valAx>
      <c:valAx>
        <c:axId val="8660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fit'!$B$36:$B$46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1.2533593983189359E-4</c:v>
                </c:pt>
                <c:pt idx="3">
                  <c:v>7.0832532761432032E-4</c:v>
                </c:pt>
                <c:pt idx="4">
                  <c:v>1.7003654050636308E-3</c:v>
                </c:pt>
                <c:pt idx="5">
                  <c:v>3.8558982863068081E-3</c:v>
                </c:pt>
                <c:pt idx="6">
                  <c:v>6.3722064932130729E-3</c:v>
                </c:pt>
                <c:pt idx="7">
                  <c:v>9.1022167558868494E-3</c:v>
                </c:pt>
                <c:pt idx="8">
                  <c:v>1.449727822979624E-2</c:v>
                </c:pt>
                <c:pt idx="9">
                  <c:v>2.5219900047888544E-2</c:v>
                </c:pt>
                <c:pt idx="10">
                  <c:v>5.1080025416585684E-2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F1-9D41-A9A9-EB07C40AABA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 fit'!$A$36:$A$46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fit'!$C$36:$C$46</c:f>
              <c:numCache>
                <c:formatCode>General</c:formatCode>
                <c:ptCount val="11"/>
                <c:pt idx="0">
                  <c:v>0</c:v>
                </c:pt>
                <c:pt idx="1">
                  <c:v>6.6775468899661096E-4</c:v>
                </c:pt>
                <c:pt idx="2">
                  <c:v>2.0032640669898328E-3</c:v>
                </c:pt>
                <c:pt idx="3">
                  <c:v>4.0065281339796656E-3</c:v>
                </c:pt>
                <c:pt idx="4">
                  <c:v>6.0097922009694988E-3</c:v>
                </c:pt>
                <c:pt idx="5">
                  <c:v>8.0130562679593311E-3</c:v>
                </c:pt>
                <c:pt idx="6">
                  <c:v>1.0016320334949164E-2</c:v>
                </c:pt>
                <c:pt idx="7">
                  <c:v>1.2019584401938998E-2</c:v>
                </c:pt>
                <c:pt idx="8">
                  <c:v>1.6026112535918662E-2</c:v>
                </c:pt>
                <c:pt idx="9">
                  <c:v>2.4039168803877995E-2</c:v>
                </c:pt>
                <c:pt idx="10">
                  <c:v>4.807833760775599E-2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F1-9D41-A9A9-EB07C40AA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52256"/>
        <c:axId val="864178816"/>
      </c:scatterChart>
      <c:valAx>
        <c:axId val="9266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178816"/>
        <c:crosses val="autoZero"/>
        <c:crossBetween val="midCat"/>
      </c:valAx>
      <c:valAx>
        <c:axId val="8641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fit'!$A$53:$A$63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  <c:pt idx="8">
                  <c:v>120</c:v>
                </c:pt>
                <c:pt idx="9">
                  <c:v>180</c:v>
                </c:pt>
                <c:pt idx="10">
                  <c:v>360</c:v>
                </c:pt>
              </c:numCache>
            </c:numRef>
          </c:xVal>
          <c:yVal>
            <c:numRef>
              <c:f>'Model fit'!$B$53:$B$63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1.2444294437469416E-2</c:v>
                </c:pt>
                <c:pt idx="3">
                  <c:v>2.9710489435427867E-2</c:v>
                </c:pt>
                <c:pt idx="4">
                  <c:v>4.6223127892438765E-2</c:v>
                </c:pt>
                <c:pt idx="5">
                  <c:v>7.0026856403804683E-2</c:v>
                </c:pt>
                <c:pt idx="6">
                  <c:v>9.0493936316667467E-2</c:v>
                </c:pt>
                <c:pt idx="7">
                  <c:v>0.10866405983729521</c:v>
                </c:pt>
                <c:pt idx="8">
                  <c:v>0.13820044598737335</c:v>
                </c:pt>
                <c:pt idx="9">
                  <c:v>0.18454711526221801</c:v>
                </c:pt>
                <c:pt idx="10">
                  <c:v>0.26883108060955951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8D-DB46-959D-AFCEF3B00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095823"/>
        <c:axId val="616442687"/>
      </c:scatterChart>
      <c:valAx>
        <c:axId val="611095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442687"/>
        <c:crosses val="autoZero"/>
        <c:crossBetween val="midCat"/>
      </c:valAx>
      <c:valAx>
        <c:axId val="61644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095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image" Target="../media/image1.png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EE662D-F222-0B48-BFF6-C2D691407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C04190-FA0D-1848-90C5-2AB947A7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F48B81-D74A-1A45-8AF2-B42045CF2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527050</xdr:colOff>
      <xdr:row>71</xdr:row>
      <xdr:rowOff>107950</xdr:rowOff>
    </xdr:from>
    <xdr:to>
      <xdr:col>17</xdr:col>
      <xdr:colOff>146050</xdr:colOff>
      <xdr:row>87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DFD13D-FCDC-9A4A-8742-9AD69B6A2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0899EF-10B6-EC40-90ED-733C6B01A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B19432-F6F0-2049-8A82-9FF923172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28C8A6-4828-8B49-B513-ADB8985D1E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CB5B26-9D66-494B-BC17-03E9DDFFC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248920</xdr:colOff>
      <xdr:row>49</xdr:row>
      <xdr:rowOff>66040</xdr:rowOff>
    </xdr:from>
    <xdr:to>
      <xdr:col>14</xdr:col>
      <xdr:colOff>706120</xdr:colOff>
      <xdr:row>62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5F01DBE-BEDC-3643-8BB1-07D749740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31750</xdr:rowOff>
    </xdr:from>
    <xdr:to>
      <xdr:col>15</xdr:col>
      <xdr:colOff>209550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4862A3-2312-2B45-AD1F-4C03CE385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431800</xdr:colOff>
      <xdr:row>16</xdr:row>
      <xdr:rowOff>158750</xdr:rowOff>
    </xdr:from>
    <xdr:to>
      <xdr:col>15</xdr:col>
      <xdr:colOff>50800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23609A-1002-8F44-9A86-ED8EC4B43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368300</xdr:colOff>
      <xdr:row>33</xdr:row>
      <xdr:rowOff>133350</xdr:rowOff>
    </xdr:from>
    <xdr:to>
      <xdr:col>14</xdr:col>
      <xdr:colOff>812800</xdr:colOff>
      <xdr:row>47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C7DD94-800A-6043-ACA5-20EB733591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374650</xdr:colOff>
      <xdr:row>49</xdr:row>
      <xdr:rowOff>196850</xdr:rowOff>
    </xdr:from>
    <xdr:to>
      <xdr:col>14</xdr:col>
      <xdr:colOff>819150</xdr:colOff>
      <xdr:row>63</xdr:row>
      <xdr:rowOff>69850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8CD839-A8D0-A44C-817E-CBBE384D21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38100</xdr:colOff>
      <xdr:row>71</xdr:row>
      <xdr:rowOff>101600</xdr:rowOff>
    </xdr:from>
    <xdr:to>
      <xdr:col>11</xdr:col>
      <xdr:colOff>495300</xdr:colOff>
      <xdr:row>75</xdr:row>
      <xdr:rowOff>114300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97D6578-5817-F1EE-AC8D-7087B978C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747000" y="14757400"/>
          <a:ext cx="2108200" cy="8509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570E58-A3DB-3D41-935D-7ED4C75E52E8}" name="Table1" displayName="Table1" ref="A16:B21" totalsRowShown="0">
  <autoFilter ref="A16:B21" xr:uid="{BBC66030-C571-0E4D-B204-EE979B493E66}"/>
  <tableColumns count="2">
    <tableColumn id="1" xr3:uid="{B0204510-251A-BA43-89AE-89ED83BC39AD}" name="Column1"/>
    <tableColumn id="2" xr3:uid="{5BCB9A76-5A70-674E-B179-D48C56A6CAB6}" name="Column2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51B652-9237-B54D-8D17-86AF202D0BE6}" name="Table13" displayName="Table13" ref="A16:B21" totalsRowShown="0">
  <autoFilter ref="A16:B21" xr:uid="{BBC66030-C571-0E4D-B204-EE979B493E66}"/>
  <tableColumns count="2">
    <tableColumn id="1" xr3:uid="{E05D20EB-2B0C-F044-A2F6-365CF948C724}" name="Column1"/>
    <tableColumn id="2" xr3:uid="{3FAAC615-432B-2E42-81C7-E68EB5C0EFF8}" name="Column2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A530E4-F547-F542-A497-C56CAA89B817}" name="Table14" displayName="Table14" ref="A16:B21" totalsRowShown="0">
  <autoFilter ref="A16:B21" xr:uid="{BBC66030-C571-0E4D-B204-EE979B493E66}"/>
  <tableColumns count="2">
    <tableColumn id="1" xr3:uid="{E7460C3B-8C86-7248-848E-1E04B7A6B720}" name="Column1"/>
    <tableColumn id="2" xr3:uid="{856DF754-40D8-A447-8C29-E26D8F148868}" name="Column2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8595719-265D-604E-8F29-894621F7762C}" name="Table145" displayName="Table145" ref="A16:B21" totalsRowShown="0">
  <autoFilter ref="A16:B21" xr:uid="{BBC66030-C571-0E4D-B204-EE979B493E66}"/>
  <tableColumns count="2">
    <tableColumn id="1" xr3:uid="{3F6412EB-A298-F946-8CDB-13B0F7C57D56}" name="Column1"/>
    <tableColumn id="2" xr3:uid="{5F4A2E6C-C61D-1B46-AE2B-F0981CB37072}" name="Column2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C43C-23D6-5D40-BCD1-97833DB9A529}">
  <dimension ref="A1:T71"/>
  <sheetViews>
    <sheetView workbookViewId="0">
      <selection activeCell="D3" sqref="D3:D7"/>
    </sheetView>
  </sheetViews>
  <sheetFormatPr baseColWidth="10" defaultRowHeight="16"/>
  <cols>
    <col min="2" max="2" width="21" customWidth="1"/>
  </cols>
  <sheetData>
    <row r="1" spans="1:4">
      <c r="A1" t="s">
        <v>18</v>
      </c>
      <c r="C1">
        <v>66.724999999999994</v>
      </c>
    </row>
    <row r="2" spans="1:4">
      <c r="A2" t="s">
        <v>17</v>
      </c>
      <c r="B2" t="s">
        <v>16</v>
      </c>
      <c r="C2">
        <v>65.349000000000004</v>
      </c>
    </row>
    <row r="3" spans="1:4">
      <c r="A3" s="19">
        <v>5.0000000000000001E-4</v>
      </c>
      <c r="B3" s="20">
        <f>AVERAGE(C1:C3)</f>
        <v>65.713333333333338</v>
      </c>
      <c r="C3">
        <v>65.066000000000003</v>
      </c>
      <c r="D3">
        <f>A3*1000</f>
        <v>0.5</v>
      </c>
    </row>
    <row r="4" spans="1:4">
      <c r="A4" s="19">
        <v>1E-3</v>
      </c>
      <c r="B4">
        <v>128.90100000000001</v>
      </c>
      <c r="D4">
        <f t="shared" ref="D4:D7" si="0">A4*1000</f>
        <v>1</v>
      </c>
    </row>
    <row r="5" spans="1:4">
      <c r="A5" s="19">
        <v>0.01</v>
      </c>
      <c r="B5" s="21">
        <v>1299.7260000000001</v>
      </c>
      <c r="D5">
        <f t="shared" si="0"/>
        <v>10</v>
      </c>
    </row>
    <row r="6" spans="1:4">
      <c r="A6" s="19">
        <v>0.05</v>
      </c>
      <c r="B6" s="21">
        <v>6527.3069999999998</v>
      </c>
      <c r="D6">
        <f t="shared" si="0"/>
        <v>50</v>
      </c>
    </row>
    <row r="7" spans="1:4">
      <c r="A7" s="19">
        <v>0.1</v>
      </c>
      <c r="B7" s="21">
        <v>12915.986999999999</v>
      </c>
      <c r="D7">
        <f t="shared" si="0"/>
        <v>100</v>
      </c>
    </row>
    <row r="9" spans="1:4">
      <c r="A9" t="s">
        <v>0</v>
      </c>
      <c r="B9" t="s">
        <v>15</v>
      </c>
    </row>
    <row r="10" spans="1:4">
      <c r="A10">
        <f>STDEV(C1:C3)</f>
        <v>0.88748201859717957</v>
      </c>
      <c r="B10">
        <f>3*A10/129441</f>
        <v>2.0568800115817544E-5</v>
      </c>
    </row>
    <row r="16" spans="1:4">
      <c r="A16" t="s">
        <v>29</v>
      </c>
      <c r="B16" t="s">
        <v>30</v>
      </c>
    </row>
    <row r="17" spans="1:20">
      <c r="A17" t="s">
        <v>25</v>
      </c>
      <c r="B17" t="s">
        <v>31</v>
      </c>
    </row>
    <row r="18" spans="1:20">
      <c r="A18" t="s">
        <v>26</v>
      </c>
      <c r="B18" t="s">
        <v>32</v>
      </c>
    </row>
    <row r="19" spans="1:20">
      <c r="A19" t="s">
        <v>27</v>
      </c>
      <c r="B19" t="s">
        <v>45</v>
      </c>
    </row>
    <row r="20" spans="1:20">
      <c r="A20" t="s">
        <v>28</v>
      </c>
      <c r="B20" t="s">
        <v>33</v>
      </c>
    </row>
    <row r="21" spans="1:20">
      <c r="A21" t="s">
        <v>34</v>
      </c>
      <c r="B21" t="s">
        <v>35</v>
      </c>
    </row>
    <row r="24" spans="1:20">
      <c r="A24" t="s">
        <v>22</v>
      </c>
      <c r="B24" t="s">
        <v>23</v>
      </c>
    </row>
    <row r="25" spans="1:20">
      <c r="A25" t="s">
        <v>16</v>
      </c>
      <c r="B25" t="s">
        <v>21</v>
      </c>
    </row>
    <row r="26" spans="1:20">
      <c r="A26">
        <v>109.7</v>
      </c>
      <c r="B26">
        <f>A26/25144</f>
        <v>4.3628698695513841E-3</v>
      </c>
    </row>
    <row r="27" spans="1:20">
      <c r="A27">
        <v>124.1</v>
      </c>
      <c r="B27">
        <f t="shared" ref="B27:B28" si="1">A27/25144</f>
        <v>4.9355711104040727E-3</v>
      </c>
    </row>
    <row r="28" spans="1:20">
      <c r="A28">
        <v>116.5</v>
      </c>
      <c r="B28">
        <f t="shared" si="1"/>
        <v>4.6333121221762644E-3</v>
      </c>
    </row>
    <row r="29" spans="1:20">
      <c r="B29">
        <f>AVERAGE(B26:B28)</f>
        <v>4.6439177007105738E-3</v>
      </c>
    </row>
    <row r="31" spans="1:20" ht="17" thickBot="1"/>
    <row r="32" spans="1:20">
      <c r="A32" s="39" t="s">
        <v>37</v>
      </c>
      <c r="B32" s="40"/>
      <c r="C32" s="18">
        <v>2.5</v>
      </c>
      <c r="D32" s="18"/>
      <c r="E32" s="17"/>
      <c r="F32" s="2"/>
      <c r="G32" s="39" t="s">
        <v>37</v>
      </c>
      <c r="H32" s="40"/>
      <c r="I32" s="18">
        <v>2.5</v>
      </c>
      <c r="J32" s="18"/>
      <c r="K32" s="17"/>
      <c r="L32" s="2"/>
      <c r="M32" s="39" t="s">
        <v>37</v>
      </c>
      <c r="N32" s="40"/>
      <c r="O32" s="18">
        <v>2.5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f>P35/6.1*100</f>
        <v>0</v>
      </c>
      <c r="R35" s="1"/>
      <c r="S35" s="4">
        <f t="shared" ref="S35:S46" si="2">AVERAGE(E35,K35,Q35)</f>
        <v>0</v>
      </c>
      <c r="T35" s="3">
        <f t="shared" ref="T35:T46" si="3">STDEVP(E35,K35,Q35)</f>
        <v>0</v>
      </c>
    </row>
    <row r="36" spans="1:20">
      <c r="A36" s="7">
        <v>5</v>
      </c>
      <c r="B36" s="10">
        <v>130.19999999999999</v>
      </c>
      <c r="C36" s="5">
        <f>B36/129441</f>
        <v>1.005863675342434E-3</v>
      </c>
      <c r="D36" s="5">
        <f>C36*2*900</f>
        <v>1.8105546156163812</v>
      </c>
      <c r="E36" s="3">
        <f>D36/2.5*100</f>
        <v>72.422184624655245</v>
      </c>
      <c r="F36" s="2"/>
      <c r="G36" s="7">
        <v>5</v>
      </c>
      <c r="H36" s="10">
        <v>108.7</v>
      </c>
      <c r="I36" s="5">
        <f>H36/129441</f>
        <v>8.3976483494410583E-4</v>
      </c>
      <c r="J36" s="5">
        <f>I36*2*900</f>
        <v>1.5115767028993905</v>
      </c>
      <c r="K36" s="3">
        <f>J36/2.5*100</f>
        <v>60.463068115975616</v>
      </c>
      <c r="L36" s="2"/>
      <c r="M36" s="7">
        <v>5</v>
      </c>
      <c r="N36" s="10">
        <v>139</v>
      </c>
      <c r="O36" s="5">
        <f>N36/129441</f>
        <v>1.0738483169938427E-3</v>
      </c>
      <c r="P36" s="5">
        <f>O36*2*900</f>
        <v>1.9329269705889169</v>
      </c>
      <c r="Q36" s="3">
        <f>P36/2.5*100</f>
        <v>77.31707882355667</v>
      </c>
      <c r="R36" s="1"/>
      <c r="S36" s="4">
        <f t="shared" si="2"/>
        <v>70.067443854729177</v>
      </c>
      <c r="T36" s="3">
        <f t="shared" si="3"/>
        <v>7.0792194627646339</v>
      </c>
    </row>
    <row r="37" spans="1:20">
      <c r="A37" s="7">
        <v>15</v>
      </c>
      <c r="B37" s="10">
        <v>157.80000000000001</v>
      </c>
      <c r="C37" s="5">
        <f t="shared" ref="C37:C45" si="4">B37/129441</f>
        <v>1.2190882332491252E-3</v>
      </c>
      <c r="D37" s="5">
        <f t="shared" ref="D37:D45" si="5">C37*2*900</f>
        <v>2.1943588198484254</v>
      </c>
      <c r="E37" s="3">
        <f t="shared" ref="E37:E45" si="6">D37/2.5*100</f>
        <v>87.774352793937013</v>
      </c>
      <c r="F37" s="2"/>
      <c r="G37" s="7">
        <v>15</v>
      </c>
      <c r="H37" s="6">
        <v>134.5</v>
      </c>
      <c r="I37" s="5">
        <f t="shared" ref="I37:I45" si="7">H37/129441</f>
        <v>1.0390834434220997E-3</v>
      </c>
      <c r="J37" s="5">
        <f t="shared" ref="J37:J45" si="8">I37*2*900</f>
        <v>1.8703501981597794</v>
      </c>
      <c r="K37" s="3">
        <f t="shared" ref="K37:K45" si="9">J37/2.5*100</f>
        <v>74.814007926391184</v>
      </c>
      <c r="L37" s="2"/>
      <c r="M37" s="7">
        <v>15</v>
      </c>
      <c r="N37" s="6">
        <v>159.80000000000001</v>
      </c>
      <c r="O37" s="5">
        <f t="shared" ref="O37:O45" si="10">N37/129441</f>
        <v>1.2345392881698998E-3</v>
      </c>
      <c r="P37" s="5">
        <f t="shared" ref="P37:P45" si="11">O37*2*900</f>
        <v>2.2221707187058195</v>
      </c>
      <c r="Q37" s="3">
        <f t="shared" ref="Q37:Q45" si="12">P37/2.5*100</f>
        <v>88.886828748232787</v>
      </c>
      <c r="R37" s="1"/>
      <c r="S37" s="4">
        <f t="shared" si="2"/>
        <v>83.825063156186999</v>
      </c>
      <c r="T37" s="3">
        <f t="shared" si="3"/>
        <v>6.3879437459975801</v>
      </c>
    </row>
    <row r="38" spans="1:20">
      <c r="A38" s="7">
        <v>30</v>
      </c>
      <c r="B38" s="6">
        <v>156.1</v>
      </c>
      <c r="C38" s="5">
        <f t="shared" si="4"/>
        <v>1.2059548365664665E-3</v>
      </c>
      <c r="D38" s="5">
        <f t="shared" si="5"/>
        <v>2.1707187058196395</v>
      </c>
      <c r="E38" s="3">
        <f t="shared" si="6"/>
        <v>86.828748232785586</v>
      </c>
      <c r="F38" s="2"/>
      <c r="G38" s="7">
        <v>30</v>
      </c>
      <c r="H38" s="6">
        <v>135.9</v>
      </c>
      <c r="I38" s="5">
        <f t="shared" si="7"/>
        <v>1.0498991818666419E-3</v>
      </c>
      <c r="J38" s="5">
        <f t="shared" si="8"/>
        <v>1.8898185273599555</v>
      </c>
      <c r="K38" s="3">
        <f t="shared" si="9"/>
        <v>75.592741094398221</v>
      </c>
      <c r="L38" s="2"/>
      <c r="M38" s="7">
        <v>30</v>
      </c>
      <c r="N38" s="6">
        <v>162.19999999999999</v>
      </c>
      <c r="O38" s="5">
        <f t="shared" si="10"/>
        <v>1.2530805540748294E-3</v>
      </c>
      <c r="P38" s="5">
        <f t="shared" si="11"/>
        <v>2.255544997334693</v>
      </c>
      <c r="Q38" s="3">
        <f t="shared" si="12"/>
        <v>90.221799893387725</v>
      </c>
      <c r="R38" s="1"/>
      <c r="S38" s="4">
        <f t="shared" si="2"/>
        <v>84.214429740190511</v>
      </c>
      <c r="T38" s="3">
        <f t="shared" si="3"/>
        <v>6.2518443263630346</v>
      </c>
    </row>
    <row r="39" spans="1:20">
      <c r="A39" s="7">
        <v>45</v>
      </c>
      <c r="B39" s="6">
        <v>154.69999999999999</v>
      </c>
      <c r="C39" s="5">
        <f t="shared" si="4"/>
        <v>1.1951390981219242E-3</v>
      </c>
      <c r="D39" s="5">
        <f t="shared" si="5"/>
        <v>2.1512503766194637</v>
      </c>
      <c r="E39" s="3">
        <f t="shared" si="6"/>
        <v>86.050015064778549</v>
      </c>
      <c r="F39" s="2"/>
      <c r="G39" s="7">
        <v>45</v>
      </c>
      <c r="H39" s="6">
        <v>131</v>
      </c>
      <c r="I39" s="5">
        <f t="shared" si="7"/>
        <v>1.0120440973107438E-3</v>
      </c>
      <c r="J39" s="5">
        <f t="shared" si="8"/>
        <v>1.8216793751593388</v>
      </c>
      <c r="K39" s="3">
        <f t="shared" si="9"/>
        <v>72.867175006373557</v>
      </c>
      <c r="L39" s="2"/>
      <c r="M39" s="7">
        <v>45</v>
      </c>
      <c r="N39" s="6">
        <v>150.9</v>
      </c>
      <c r="O39" s="5">
        <f t="shared" si="10"/>
        <v>1.1657820937724524E-3</v>
      </c>
      <c r="P39" s="5">
        <f t="shared" si="11"/>
        <v>2.0984077687904144</v>
      </c>
      <c r="Q39" s="3">
        <f t="shared" si="12"/>
        <v>83.936310751616574</v>
      </c>
      <c r="R39" s="1"/>
      <c r="S39" s="4">
        <f t="shared" si="2"/>
        <v>80.951166940922903</v>
      </c>
      <c r="T39" s="3">
        <f t="shared" si="3"/>
        <v>5.7810109080946459</v>
      </c>
    </row>
    <row r="40" spans="1:20">
      <c r="A40" s="7">
        <v>60</v>
      </c>
      <c r="B40" s="6">
        <v>149.9</v>
      </c>
      <c r="C40" s="5">
        <f t="shared" si="4"/>
        <v>1.1580565663120649E-3</v>
      </c>
      <c r="D40" s="5">
        <f t="shared" si="5"/>
        <v>2.0845018193617171</v>
      </c>
      <c r="E40" s="3">
        <f t="shared" si="6"/>
        <v>83.380072774468687</v>
      </c>
      <c r="F40" s="2"/>
      <c r="G40" s="7">
        <v>60</v>
      </c>
      <c r="H40" s="6">
        <v>130.9</v>
      </c>
      <c r="I40" s="5">
        <f t="shared" si="7"/>
        <v>1.0112715445647052E-3</v>
      </c>
      <c r="J40" s="5">
        <f t="shared" si="8"/>
        <v>1.8202887802164693</v>
      </c>
      <c r="K40" s="3">
        <f t="shared" si="9"/>
        <v>72.81155120865877</v>
      </c>
      <c r="L40" s="2"/>
      <c r="M40" s="7">
        <v>60</v>
      </c>
      <c r="N40" s="6">
        <v>147.80000000000001</v>
      </c>
      <c r="O40" s="5">
        <f t="shared" si="10"/>
        <v>1.1418329586452517E-3</v>
      </c>
      <c r="P40" s="5">
        <f t="shared" si="11"/>
        <v>2.0552993255614531</v>
      </c>
      <c r="Q40" s="3">
        <f t="shared" si="12"/>
        <v>82.211973022458125</v>
      </c>
      <c r="R40" s="1"/>
      <c r="S40" s="4">
        <f t="shared" si="2"/>
        <v>79.467865668528518</v>
      </c>
      <c r="T40" s="3">
        <f t="shared" si="3"/>
        <v>4.7308213451200478</v>
      </c>
    </row>
    <row r="41" spans="1:20">
      <c r="A41" s="7">
        <v>75</v>
      </c>
      <c r="B41" s="6">
        <v>150.30000000000001</v>
      </c>
      <c r="C41" s="5">
        <f t="shared" si="4"/>
        <v>1.1611467772962201E-3</v>
      </c>
      <c r="D41" s="5">
        <f t="shared" si="5"/>
        <v>2.0900641991331961</v>
      </c>
      <c r="E41" s="3">
        <f t="shared" si="6"/>
        <v>83.60256796532785</v>
      </c>
      <c r="F41" s="2"/>
      <c r="G41" s="7">
        <v>75</v>
      </c>
      <c r="H41" s="6">
        <v>134</v>
      </c>
      <c r="I41" s="5">
        <f t="shared" si="7"/>
        <v>1.0352206796919059E-3</v>
      </c>
      <c r="J41" s="5">
        <f t="shared" si="8"/>
        <v>1.8633972234454308</v>
      </c>
      <c r="K41" s="3">
        <f t="shared" si="9"/>
        <v>74.535888937817234</v>
      </c>
      <c r="L41" s="2"/>
      <c r="M41" s="7">
        <v>75</v>
      </c>
      <c r="N41" s="10">
        <v>148</v>
      </c>
      <c r="O41" s="5">
        <f t="shared" si="10"/>
        <v>1.1433780641373289E-3</v>
      </c>
      <c r="P41" s="5">
        <f t="shared" si="11"/>
        <v>2.0580805154471919</v>
      </c>
      <c r="Q41" s="3">
        <f t="shared" si="12"/>
        <v>82.323220617887685</v>
      </c>
      <c r="R41" s="1"/>
      <c r="S41" s="4">
        <f t="shared" si="2"/>
        <v>80.153892507010923</v>
      </c>
      <c r="T41" s="3"/>
    </row>
    <row r="42" spans="1:20">
      <c r="A42" s="7">
        <v>90</v>
      </c>
      <c r="B42" s="10">
        <v>149.1</v>
      </c>
      <c r="C42" s="5">
        <f t="shared" si="4"/>
        <v>1.1518761443437551E-3</v>
      </c>
      <c r="D42" s="5">
        <f t="shared" si="5"/>
        <v>2.0733770598187591</v>
      </c>
      <c r="E42" s="3">
        <f t="shared" si="6"/>
        <v>82.93508239275036</v>
      </c>
      <c r="F42" s="2"/>
      <c r="G42" s="9">
        <v>90</v>
      </c>
      <c r="H42" s="8">
        <v>130</v>
      </c>
      <c r="I42" s="5">
        <f t="shared" si="7"/>
        <v>1.0043185698503565E-3</v>
      </c>
      <c r="J42" s="5">
        <f t="shared" si="8"/>
        <v>1.8077734257306417</v>
      </c>
      <c r="K42" s="3">
        <f t="shared" si="9"/>
        <v>72.31093702922567</v>
      </c>
      <c r="L42" s="2"/>
      <c r="M42" s="7">
        <v>90</v>
      </c>
      <c r="N42" s="6">
        <v>146.69999999999999</v>
      </c>
      <c r="O42" s="5">
        <f t="shared" si="10"/>
        <v>1.1333348784388253E-3</v>
      </c>
      <c r="P42" s="5">
        <f t="shared" si="11"/>
        <v>2.0400027811898855</v>
      </c>
      <c r="Q42" s="3">
        <f t="shared" si="12"/>
        <v>81.600111247595422</v>
      </c>
      <c r="R42" s="1"/>
      <c r="S42" s="4">
        <f t="shared" si="2"/>
        <v>78.948710223190474</v>
      </c>
      <c r="T42" s="3">
        <f t="shared" si="3"/>
        <v>4.725149854448178</v>
      </c>
    </row>
    <row r="43" spans="1:20">
      <c r="A43" s="7">
        <v>120</v>
      </c>
      <c r="B43" s="10">
        <v>151.80000000000001</v>
      </c>
      <c r="C43" s="5">
        <f t="shared" si="4"/>
        <v>1.1727350684868009E-3</v>
      </c>
      <c r="D43" s="5">
        <f t="shared" si="5"/>
        <v>2.1109231232762418</v>
      </c>
      <c r="E43" s="3">
        <f t="shared" si="6"/>
        <v>84.436924931049674</v>
      </c>
      <c r="F43" s="2"/>
      <c r="G43" s="9">
        <v>120</v>
      </c>
      <c r="H43" s="8">
        <v>132</v>
      </c>
      <c r="I43" s="5">
        <f t="shared" si="7"/>
        <v>1.0197696247711313E-3</v>
      </c>
      <c r="J43" s="5">
        <f t="shared" si="8"/>
        <v>1.8355853245880365</v>
      </c>
      <c r="K43" s="3">
        <f t="shared" si="9"/>
        <v>73.423412983521459</v>
      </c>
      <c r="L43" s="2"/>
      <c r="M43" s="7">
        <v>120</v>
      </c>
      <c r="N43" s="6">
        <v>151.6</v>
      </c>
      <c r="O43" s="5">
        <f t="shared" si="10"/>
        <v>1.1711899629947235E-3</v>
      </c>
      <c r="P43" s="5">
        <f t="shared" si="11"/>
        <v>2.108141933390502</v>
      </c>
      <c r="Q43" s="3">
        <f t="shared" si="12"/>
        <v>84.325677335620085</v>
      </c>
      <c r="R43" s="1"/>
      <c r="S43" s="4">
        <f t="shared" si="2"/>
        <v>80.728671750063725</v>
      </c>
      <c r="T43" s="3">
        <f t="shared" si="3"/>
        <v>5.1657976629286955</v>
      </c>
    </row>
    <row r="44" spans="1:20">
      <c r="A44" s="7">
        <v>180</v>
      </c>
      <c r="B44" s="10">
        <v>149.9</v>
      </c>
      <c r="C44" s="5">
        <f t="shared" si="4"/>
        <v>1.1580565663120649E-3</v>
      </c>
      <c r="D44" s="5">
        <f t="shared" si="5"/>
        <v>2.0845018193617171</v>
      </c>
      <c r="E44" s="3">
        <f t="shared" si="6"/>
        <v>83.380072774468687</v>
      </c>
      <c r="F44" s="2"/>
      <c r="G44" s="9">
        <v>180</v>
      </c>
      <c r="H44" s="8">
        <v>141.5</v>
      </c>
      <c r="I44" s="5">
        <f t="shared" si="7"/>
        <v>1.0931621356448111E-3</v>
      </c>
      <c r="J44" s="5">
        <f t="shared" si="8"/>
        <v>1.9676918441606599</v>
      </c>
      <c r="K44" s="3">
        <f t="shared" si="9"/>
        <v>78.707673766426396</v>
      </c>
      <c r="L44" s="2"/>
      <c r="M44" s="7">
        <v>180</v>
      </c>
      <c r="N44" s="6">
        <v>152.9</v>
      </c>
      <c r="O44" s="5">
        <f t="shared" si="10"/>
        <v>1.1812331486932271E-3</v>
      </c>
      <c r="P44" s="5">
        <f t="shared" si="11"/>
        <v>2.1262196676478089</v>
      </c>
      <c r="Q44" s="3">
        <f t="shared" si="12"/>
        <v>85.048786705912363</v>
      </c>
      <c r="R44" s="1"/>
      <c r="S44" s="4">
        <f t="shared" si="2"/>
        <v>82.378844415602472</v>
      </c>
      <c r="T44" s="3">
        <f t="shared" si="3"/>
        <v>2.6838122137210627</v>
      </c>
    </row>
    <row r="45" spans="1:20">
      <c r="A45" s="6">
        <v>360</v>
      </c>
      <c r="B45" s="10">
        <v>152</v>
      </c>
      <c r="C45" s="5">
        <f t="shared" si="4"/>
        <v>1.1742801739788784E-3</v>
      </c>
      <c r="D45" s="5">
        <f t="shared" si="5"/>
        <v>2.113704313161981</v>
      </c>
      <c r="E45" s="3">
        <f t="shared" si="6"/>
        <v>84.548172526479235</v>
      </c>
      <c r="F45" s="2"/>
      <c r="G45" s="22">
        <v>360</v>
      </c>
      <c r="H45" s="8">
        <v>138.1</v>
      </c>
      <c r="I45" s="5">
        <f t="shared" si="7"/>
        <v>1.066895342279494E-3</v>
      </c>
      <c r="J45" s="5">
        <f t="shared" si="8"/>
        <v>1.9204116161030893</v>
      </c>
      <c r="K45" s="3">
        <f t="shared" si="9"/>
        <v>76.81646464412357</v>
      </c>
      <c r="L45" s="2"/>
      <c r="M45" s="6">
        <v>360</v>
      </c>
      <c r="N45" s="6">
        <v>162.4</v>
      </c>
      <c r="O45" s="5">
        <f t="shared" si="10"/>
        <v>1.254625659566907E-3</v>
      </c>
      <c r="P45" s="5">
        <f t="shared" si="11"/>
        <v>2.2583261872204328</v>
      </c>
      <c r="Q45" s="3">
        <f t="shared" si="12"/>
        <v>90.333047488817314</v>
      </c>
      <c r="R45" s="1"/>
      <c r="S45" s="4">
        <f t="shared" si="2"/>
        <v>83.899228219806716</v>
      </c>
      <c r="T45" s="1">
        <f t="shared" si="3"/>
        <v>5.5371683186889742</v>
      </c>
    </row>
    <row r="46" spans="1:20">
      <c r="A46" s="6"/>
      <c r="B46" s="10"/>
      <c r="C46" s="5"/>
      <c r="D46" s="5"/>
      <c r="E46" s="3"/>
      <c r="F46" s="2"/>
      <c r="G46" s="22"/>
      <c r="H46" s="8"/>
      <c r="I46" s="5"/>
      <c r="J46" s="5"/>
      <c r="K46" s="3"/>
      <c r="L46" s="2"/>
      <c r="M46" s="6"/>
      <c r="N46" s="6"/>
      <c r="O46" s="5"/>
      <c r="P46" s="5"/>
      <c r="Q46" s="3"/>
      <c r="R46" s="1"/>
      <c r="S46" s="4" t="e">
        <f t="shared" si="2"/>
        <v>#DIV/0!</v>
      </c>
      <c r="T46" s="1" t="e">
        <f t="shared" si="3"/>
        <v>#DIV/0!</v>
      </c>
    </row>
    <row r="47" spans="1:20">
      <c r="A47" s="6"/>
      <c r="B47" s="10"/>
      <c r="C47" s="5"/>
      <c r="D47" s="5"/>
      <c r="E47" s="1"/>
      <c r="F47" s="2"/>
      <c r="G47" s="22"/>
      <c r="H47" s="8"/>
      <c r="I47" s="5"/>
      <c r="J47" s="5"/>
      <c r="K47" s="1"/>
      <c r="L47" s="2"/>
      <c r="M47" s="6"/>
      <c r="N47" s="6"/>
      <c r="O47" s="5"/>
      <c r="P47" s="5"/>
      <c r="Q47" s="1"/>
      <c r="R47" s="1"/>
      <c r="S47" s="1"/>
      <c r="T47" s="1"/>
    </row>
    <row r="48" spans="1:20" ht="17" thickBo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4"/>
      <c r="T48" s="14"/>
    </row>
    <row r="49" spans="1:20">
      <c r="A49" s="39"/>
      <c r="B49" s="40"/>
      <c r="C49" s="18"/>
      <c r="D49" s="18"/>
      <c r="E49" s="17"/>
      <c r="F49" s="2"/>
      <c r="G49" s="39"/>
      <c r="H49" s="40"/>
      <c r="I49" s="18"/>
      <c r="J49" s="18"/>
      <c r="K49" s="17"/>
      <c r="L49" s="2"/>
      <c r="M49" s="39"/>
      <c r="N49" s="40"/>
      <c r="O49" s="18"/>
      <c r="P49" s="18"/>
      <c r="Q49" s="17"/>
      <c r="R49" s="6"/>
      <c r="S49" s="14"/>
      <c r="T49" s="14"/>
    </row>
    <row r="50" spans="1:20" ht="17" thickBot="1">
      <c r="A50" s="16"/>
      <c r="B50" s="15"/>
      <c r="C50" s="6"/>
      <c r="D50" s="6"/>
      <c r="E50" s="38"/>
      <c r="F50" s="2"/>
      <c r="G50" s="16"/>
      <c r="H50" s="15"/>
      <c r="I50" s="6"/>
      <c r="J50" s="6"/>
      <c r="K50" s="38"/>
      <c r="L50" s="2"/>
      <c r="M50" s="16"/>
      <c r="N50" s="15"/>
      <c r="O50" s="6"/>
      <c r="P50" s="6"/>
      <c r="Q50" s="38"/>
      <c r="R50" s="6"/>
      <c r="S50" s="14"/>
      <c r="T50" s="14"/>
    </row>
    <row r="51" spans="1:20">
      <c r="A51" s="7"/>
      <c r="B51" s="15"/>
      <c r="C51" s="6"/>
      <c r="D51" s="6"/>
      <c r="E51" s="38"/>
      <c r="F51" s="2"/>
      <c r="G51" s="7"/>
      <c r="H51" s="15"/>
      <c r="I51" s="6"/>
      <c r="J51" s="6"/>
      <c r="K51" s="38"/>
      <c r="L51" s="2"/>
      <c r="M51" s="7"/>
      <c r="N51" s="15"/>
      <c r="O51" s="6"/>
      <c r="P51" s="6"/>
      <c r="Q51" s="38"/>
      <c r="R51" s="6"/>
      <c r="S51" s="13" t="s">
        <v>1</v>
      </c>
      <c r="T51" s="12" t="s">
        <v>0</v>
      </c>
    </row>
    <row r="52" spans="1:20">
      <c r="A52" s="7"/>
      <c r="B52" s="15"/>
      <c r="C52" s="6"/>
      <c r="D52" s="6"/>
      <c r="E52" s="38"/>
      <c r="F52" s="2"/>
      <c r="G52" s="7"/>
      <c r="H52" s="15"/>
      <c r="I52" s="6"/>
      <c r="J52" s="6"/>
      <c r="K52" s="38"/>
      <c r="L52" s="2"/>
      <c r="M52" s="7"/>
      <c r="N52" s="15"/>
      <c r="O52" s="6"/>
      <c r="P52" s="6"/>
      <c r="Q52" s="38"/>
      <c r="R52" s="6"/>
      <c r="S52" s="4" t="e">
        <f>AVERAGE(E52,K52,Q52)</f>
        <v>#DIV/0!</v>
      </c>
      <c r="T52" s="3" t="e">
        <f>STDEVP(E52,K52,Q52)</f>
        <v>#DIV/0!</v>
      </c>
    </row>
    <row r="53" spans="1:20">
      <c r="A53" s="7"/>
      <c r="B53" s="15"/>
      <c r="C53" s="6"/>
      <c r="D53" s="6"/>
      <c r="E53" s="38"/>
      <c r="F53" s="2"/>
      <c r="G53" s="7"/>
      <c r="H53" s="15"/>
      <c r="I53" s="6"/>
      <c r="J53" s="6"/>
      <c r="K53" s="38"/>
      <c r="L53" s="2"/>
      <c r="M53" s="7"/>
      <c r="N53" s="15"/>
      <c r="O53" s="6"/>
      <c r="P53" s="6"/>
      <c r="Q53" s="38"/>
      <c r="R53" s="1"/>
      <c r="S53" s="4" t="e">
        <f>AVERAGE(E53,K53,Q53)</f>
        <v>#DIV/0!</v>
      </c>
      <c r="T53" s="3" t="e">
        <f>STDEVP(E53,K53,Q53)</f>
        <v>#DIV/0!</v>
      </c>
    </row>
    <row r="54" spans="1:20">
      <c r="A54" s="7"/>
      <c r="B54" s="15"/>
      <c r="C54" s="6"/>
      <c r="D54" s="6"/>
      <c r="E54" s="38"/>
      <c r="F54" s="2"/>
      <c r="G54" s="7"/>
      <c r="H54" s="15"/>
      <c r="I54" s="6"/>
      <c r="J54" s="6"/>
      <c r="K54" s="38"/>
      <c r="L54" s="2"/>
      <c r="M54" s="7"/>
      <c r="N54" s="15"/>
      <c r="O54" s="6"/>
      <c r="P54" s="6"/>
      <c r="Q54" s="38"/>
      <c r="R54" s="1"/>
      <c r="S54" s="4" t="e">
        <f t="shared" ref="S54:S63" si="13">AVERAGE(E54,K54,Q54)</f>
        <v>#DIV/0!</v>
      </c>
      <c r="T54" s="3" t="e">
        <f t="shared" ref="T54:T63" si="14">STDEVP(E54,K54,Q54)</f>
        <v>#DIV/0!</v>
      </c>
    </row>
    <row r="55" spans="1:20">
      <c r="A55" s="7"/>
      <c r="B55" s="15"/>
      <c r="C55" s="6"/>
      <c r="D55" s="6"/>
      <c r="E55" s="38"/>
      <c r="F55" s="2"/>
      <c r="G55" s="7"/>
      <c r="H55" s="15"/>
      <c r="I55" s="6"/>
      <c r="J55" s="6"/>
      <c r="K55" s="38"/>
      <c r="L55" s="2"/>
      <c r="M55" s="7"/>
      <c r="N55" s="15"/>
      <c r="O55" s="6"/>
      <c r="P55" s="6"/>
      <c r="Q55" s="38"/>
      <c r="R55" s="1"/>
      <c r="S55" s="4" t="e">
        <f t="shared" si="13"/>
        <v>#DIV/0!</v>
      </c>
      <c r="T55" s="3" t="e">
        <f t="shared" si="14"/>
        <v>#DIV/0!</v>
      </c>
    </row>
    <row r="56" spans="1:20">
      <c r="A56" s="7"/>
      <c r="B56" s="15"/>
      <c r="C56" s="6"/>
      <c r="D56" s="6"/>
      <c r="E56" s="38"/>
      <c r="F56" s="2"/>
      <c r="G56" s="7"/>
      <c r="H56" s="15"/>
      <c r="I56" s="6"/>
      <c r="J56" s="6"/>
      <c r="K56" s="38"/>
      <c r="L56" s="2"/>
      <c r="M56" s="7"/>
      <c r="N56" s="15"/>
      <c r="O56" s="6"/>
      <c r="P56" s="6"/>
      <c r="Q56" s="38"/>
      <c r="R56" s="1"/>
      <c r="S56" s="4" t="e">
        <f t="shared" si="13"/>
        <v>#DIV/0!</v>
      </c>
      <c r="T56" s="3" t="e">
        <f t="shared" si="14"/>
        <v>#DIV/0!</v>
      </c>
    </row>
    <row r="57" spans="1:20">
      <c r="A57" s="7"/>
      <c r="B57" s="15"/>
      <c r="C57" s="6"/>
      <c r="D57" s="6"/>
      <c r="E57" s="38"/>
      <c r="F57" s="2"/>
      <c r="G57" s="7"/>
      <c r="H57" s="15"/>
      <c r="I57" s="6"/>
      <c r="J57" s="6"/>
      <c r="K57" s="38"/>
      <c r="L57" s="2"/>
      <c r="M57" s="7"/>
      <c r="N57" s="15"/>
      <c r="O57" s="6"/>
      <c r="P57" s="6"/>
      <c r="Q57" s="38"/>
      <c r="R57" s="1"/>
      <c r="S57" s="4" t="e">
        <f t="shared" si="13"/>
        <v>#DIV/0!</v>
      </c>
      <c r="T57" s="3" t="e">
        <f t="shared" si="14"/>
        <v>#DIV/0!</v>
      </c>
    </row>
    <row r="58" spans="1:20">
      <c r="A58" s="7"/>
      <c r="B58" s="15"/>
      <c r="C58" s="6"/>
      <c r="D58" s="6"/>
      <c r="E58" s="38"/>
      <c r="F58" s="2"/>
      <c r="G58" s="7"/>
      <c r="H58" s="15"/>
      <c r="I58" s="6"/>
      <c r="J58" s="6"/>
      <c r="K58" s="38"/>
      <c r="L58" s="2"/>
      <c r="M58" s="7"/>
      <c r="N58" s="15"/>
      <c r="O58" s="6"/>
      <c r="P58" s="6"/>
      <c r="Q58" s="38"/>
      <c r="R58" s="1"/>
      <c r="S58" s="4" t="e">
        <f t="shared" si="13"/>
        <v>#DIV/0!</v>
      </c>
      <c r="T58" s="3" t="e">
        <f t="shared" si="14"/>
        <v>#DIV/0!</v>
      </c>
    </row>
    <row r="59" spans="1:20">
      <c r="A59" s="7"/>
      <c r="B59" s="15"/>
      <c r="C59" s="6"/>
      <c r="D59" s="6"/>
      <c r="E59" s="38"/>
      <c r="F59" s="2"/>
      <c r="G59" s="7"/>
      <c r="H59" s="15"/>
      <c r="I59" s="6"/>
      <c r="J59" s="6"/>
      <c r="K59" s="38"/>
      <c r="L59" s="2"/>
      <c r="M59" s="7"/>
      <c r="N59" s="15"/>
      <c r="O59" s="6"/>
      <c r="P59" s="6"/>
      <c r="Q59" s="38"/>
      <c r="R59" s="1"/>
      <c r="S59" s="4" t="e">
        <f t="shared" si="13"/>
        <v>#DIV/0!</v>
      </c>
      <c r="T59" s="3" t="e">
        <f t="shared" si="14"/>
        <v>#DIV/0!</v>
      </c>
    </row>
    <row r="60" spans="1:20">
      <c r="A60" s="7"/>
      <c r="B60" s="15"/>
      <c r="C60" s="6"/>
      <c r="D60" s="6"/>
      <c r="E60" s="38"/>
      <c r="F60" s="2"/>
      <c r="G60" s="9"/>
      <c r="H60" s="15"/>
      <c r="I60" s="6"/>
      <c r="J60" s="6"/>
      <c r="K60" s="38"/>
      <c r="L60" s="2"/>
      <c r="M60" s="7"/>
      <c r="N60" s="15"/>
      <c r="O60" s="6"/>
      <c r="P60" s="6"/>
      <c r="Q60" s="38"/>
      <c r="R60" s="1"/>
      <c r="S60" s="4" t="e">
        <f t="shared" si="13"/>
        <v>#DIV/0!</v>
      </c>
      <c r="T60" s="3" t="e">
        <f t="shared" si="14"/>
        <v>#DIV/0!</v>
      </c>
    </row>
    <row r="61" spans="1:20">
      <c r="A61" s="7"/>
      <c r="B61" s="10"/>
      <c r="C61" s="5"/>
      <c r="D61" s="5"/>
      <c r="E61" s="3"/>
      <c r="F61" s="2"/>
      <c r="G61" s="9"/>
      <c r="H61" s="8"/>
      <c r="I61" s="5"/>
      <c r="J61" s="5"/>
      <c r="K61" s="3"/>
      <c r="L61" s="2"/>
      <c r="M61" s="7"/>
      <c r="N61" s="6"/>
      <c r="O61" s="5"/>
      <c r="P61" s="5"/>
      <c r="Q61" s="3"/>
      <c r="R61" s="1"/>
      <c r="S61" s="4" t="e">
        <f t="shared" si="13"/>
        <v>#DIV/0!</v>
      </c>
      <c r="T61" s="3" t="e">
        <f t="shared" si="14"/>
        <v>#DIV/0!</v>
      </c>
    </row>
    <row r="62" spans="1:20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25" t="e">
        <f t="shared" si="13"/>
        <v>#DIV/0!</v>
      </c>
      <c r="T62" s="24" t="e">
        <f t="shared" si="14"/>
        <v>#DIV/0!</v>
      </c>
    </row>
    <row r="63" spans="1:20">
      <c r="A63" s="9"/>
      <c r="B63" s="22"/>
      <c r="C63" s="5"/>
      <c r="D63" s="5"/>
      <c r="E63" s="3"/>
      <c r="G63" s="9"/>
      <c r="H63" s="22"/>
      <c r="I63" s="23"/>
      <c r="J63" s="23"/>
      <c r="K63" s="24"/>
      <c r="M63" s="9"/>
      <c r="N63" s="22"/>
      <c r="O63" s="5"/>
      <c r="P63" s="5"/>
      <c r="Q63" s="3"/>
      <c r="S63" s="25" t="e">
        <f t="shared" si="13"/>
        <v>#DIV/0!</v>
      </c>
      <c r="T63" s="24" t="e">
        <f t="shared" si="14"/>
        <v>#DIV/0!</v>
      </c>
    </row>
    <row r="66" spans="1:3">
      <c r="B66" t="s">
        <v>14</v>
      </c>
      <c r="C66" t="s">
        <v>10</v>
      </c>
    </row>
    <row r="67" spans="1:3">
      <c r="A67" t="s">
        <v>19</v>
      </c>
      <c r="B67">
        <v>42.57</v>
      </c>
      <c r="C67">
        <v>81</v>
      </c>
    </row>
    <row r="68" spans="1:3">
      <c r="B68">
        <v>62.43</v>
      </c>
      <c r="C68">
        <v>101.4</v>
      </c>
    </row>
    <row r="69" spans="1:3">
      <c r="B69">
        <v>66.98</v>
      </c>
      <c r="C69">
        <v>85.57</v>
      </c>
    </row>
    <row r="71" spans="1:3">
      <c r="A71" t="s">
        <v>20</v>
      </c>
      <c r="B71">
        <f>_xlfn.T.TEST(B67:B69,C67:C69,2,2)</f>
        <v>3.0108439981409336E-2</v>
      </c>
    </row>
  </sheetData>
  <mergeCells count="6">
    <mergeCell ref="A32:B32"/>
    <mergeCell ref="G32:H32"/>
    <mergeCell ref="M32:N32"/>
    <mergeCell ref="A49:B49"/>
    <mergeCell ref="G49:H49"/>
    <mergeCell ref="M49:N49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493C-DF10-B447-888E-C5C197DC2E5D}">
  <dimension ref="A1:V73"/>
  <sheetViews>
    <sheetView tabSelected="1" workbookViewId="0">
      <selection activeCell="B3" sqref="B3:B7"/>
    </sheetView>
  </sheetViews>
  <sheetFormatPr baseColWidth="10" defaultRowHeight="16"/>
  <cols>
    <col min="2" max="2" width="21" customWidth="1"/>
  </cols>
  <sheetData>
    <row r="1" spans="1:3">
      <c r="A1" t="s">
        <v>18</v>
      </c>
      <c r="C1">
        <v>63.7</v>
      </c>
    </row>
    <row r="2" spans="1:3">
      <c r="A2" t="s">
        <v>17</v>
      </c>
      <c r="B2" t="s">
        <v>16</v>
      </c>
      <c r="C2">
        <v>61.8</v>
      </c>
    </row>
    <row r="3" spans="1:3">
      <c r="A3" s="19">
        <v>5.0000000000000001E-4</v>
      </c>
      <c r="B3" s="20">
        <f>AVERAGE(C1:C3)</f>
        <v>63.266666666666673</v>
      </c>
      <c r="C3">
        <v>64.3</v>
      </c>
    </row>
    <row r="4" spans="1:3">
      <c r="A4" s="19">
        <v>1E-3</v>
      </c>
      <c r="B4">
        <v>129.1</v>
      </c>
    </row>
    <row r="5" spans="1:3">
      <c r="A5" s="19">
        <v>0.01</v>
      </c>
      <c r="B5" s="21">
        <v>1282.5999999999999</v>
      </c>
    </row>
    <row r="6" spans="1:3">
      <c r="A6" s="19">
        <v>0.05</v>
      </c>
      <c r="B6" s="21">
        <v>6440.3</v>
      </c>
    </row>
    <row r="7" spans="1:3">
      <c r="A7" s="19">
        <v>0.1</v>
      </c>
      <c r="B7" s="21">
        <v>12844</v>
      </c>
    </row>
    <row r="9" spans="1:3">
      <c r="A9" t="s">
        <v>0</v>
      </c>
      <c r="B9" t="s">
        <v>15</v>
      </c>
    </row>
    <row r="10" spans="1:3">
      <c r="A10">
        <f>STDEV(C1:C3)</f>
        <v>1.3051181300301271</v>
      </c>
      <c r="B10">
        <f>3*A10/128511</f>
        <v>3.0467075893039359E-5</v>
      </c>
    </row>
    <row r="16" spans="1:3">
      <c r="A16" t="s">
        <v>29</v>
      </c>
      <c r="B16" t="s">
        <v>30</v>
      </c>
    </row>
    <row r="17" spans="1:3">
      <c r="A17" t="s">
        <v>25</v>
      </c>
      <c r="B17" t="s">
        <v>31</v>
      </c>
    </row>
    <row r="18" spans="1:3">
      <c r="A18" t="s">
        <v>26</v>
      </c>
      <c r="B18" t="s">
        <v>32</v>
      </c>
    </row>
    <row r="19" spans="1:3">
      <c r="A19" t="s">
        <v>27</v>
      </c>
      <c r="B19" t="s">
        <v>45</v>
      </c>
    </row>
    <row r="20" spans="1:3">
      <c r="A20" t="s">
        <v>28</v>
      </c>
      <c r="B20" t="s">
        <v>33</v>
      </c>
    </row>
    <row r="21" spans="1:3">
      <c r="A21" t="s">
        <v>34</v>
      </c>
      <c r="B21" t="s">
        <v>36</v>
      </c>
    </row>
    <row r="24" spans="1:3">
      <c r="A24" t="s">
        <v>22</v>
      </c>
      <c r="B24" t="s">
        <v>23</v>
      </c>
    </row>
    <row r="25" spans="1:3">
      <c r="A25" t="s">
        <v>16</v>
      </c>
      <c r="B25" t="s">
        <v>21</v>
      </c>
    </row>
    <row r="26" spans="1:3">
      <c r="A26">
        <v>109.7</v>
      </c>
      <c r="B26">
        <f>A26/25144</f>
        <v>4.3628698695513841E-3</v>
      </c>
    </row>
    <row r="27" spans="1:3">
      <c r="A27">
        <v>124.1</v>
      </c>
      <c r="B27">
        <f t="shared" ref="B27:B28" si="0">A27/25144</f>
        <v>4.9355711104040727E-3</v>
      </c>
    </row>
    <row r="28" spans="1:3">
      <c r="A28">
        <v>116.5</v>
      </c>
      <c r="B28">
        <f t="shared" si="0"/>
        <v>4.6333121221762644E-3</v>
      </c>
    </row>
    <row r="29" spans="1:3">
      <c r="B29">
        <f>AVERAGE(B26:B28)</f>
        <v>4.6439177007105738E-3</v>
      </c>
    </row>
    <row r="31" spans="1:3">
      <c r="B31" t="s">
        <v>5</v>
      </c>
      <c r="C31" t="s">
        <v>40</v>
      </c>
    </row>
    <row r="32" spans="1:3">
      <c r="A32" t="s">
        <v>39</v>
      </c>
      <c r="B32">
        <v>15062</v>
      </c>
      <c r="C32">
        <f>B32/128511*2</f>
        <v>0.23440794951404939</v>
      </c>
    </row>
    <row r="33" spans="1:20" ht="17" thickBot="1"/>
    <row r="34" spans="1:20">
      <c r="A34" s="39" t="s">
        <v>38</v>
      </c>
      <c r="B34" s="40"/>
      <c r="C34" s="18">
        <v>2.5</v>
      </c>
      <c r="D34" s="18"/>
      <c r="E34" s="17"/>
      <c r="F34" s="2"/>
      <c r="G34" s="39" t="s">
        <v>38</v>
      </c>
      <c r="H34" s="40"/>
      <c r="I34" s="18">
        <v>2.5</v>
      </c>
      <c r="J34" s="18"/>
      <c r="K34" s="17"/>
      <c r="L34" s="2"/>
      <c r="M34" s="39" t="s">
        <v>38</v>
      </c>
      <c r="N34" s="40"/>
      <c r="O34" s="18">
        <v>2.5</v>
      </c>
      <c r="P34" s="18"/>
      <c r="Q34" s="17"/>
      <c r="R34" s="6"/>
      <c r="S34" s="2"/>
      <c r="T34" s="2"/>
    </row>
    <row r="35" spans="1:20" ht="17" thickBot="1">
      <c r="A35" s="16" t="s">
        <v>13</v>
      </c>
      <c r="B35" s="15"/>
      <c r="C35" s="6"/>
      <c r="D35" s="6"/>
      <c r="E35" s="11"/>
      <c r="F35" s="2"/>
      <c r="G35" s="16" t="s">
        <v>12</v>
      </c>
      <c r="H35" s="15"/>
      <c r="I35" s="6"/>
      <c r="J35" s="6"/>
      <c r="K35" s="11"/>
      <c r="L35" s="2"/>
      <c r="M35" s="16" t="s">
        <v>11</v>
      </c>
      <c r="N35" s="15"/>
      <c r="O35" s="6"/>
      <c r="P35" s="6"/>
      <c r="Q35" s="11"/>
      <c r="R35" s="6"/>
      <c r="S35" s="2"/>
      <c r="T35" s="2"/>
    </row>
    <row r="36" spans="1:20">
      <c r="A36" s="7" t="s">
        <v>6</v>
      </c>
      <c r="B36" s="6" t="s">
        <v>5</v>
      </c>
      <c r="C36" s="6" t="s">
        <v>4</v>
      </c>
      <c r="D36" s="6" t="s">
        <v>3</v>
      </c>
      <c r="E36" s="11" t="s">
        <v>2</v>
      </c>
      <c r="F36" s="2"/>
      <c r="G36" s="7" t="s">
        <v>6</v>
      </c>
      <c r="H36" s="6" t="s">
        <v>5</v>
      </c>
      <c r="I36" s="6" t="s">
        <v>4</v>
      </c>
      <c r="J36" s="6" t="s">
        <v>3</v>
      </c>
      <c r="K36" s="11" t="s">
        <v>2</v>
      </c>
      <c r="L36" s="2"/>
      <c r="M36" s="7" t="s">
        <v>6</v>
      </c>
      <c r="N36" s="6" t="s">
        <v>5</v>
      </c>
      <c r="O36" s="6" t="s">
        <v>4</v>
      </c>
      <c r="P36" s="6" t="s">
        <v>3</v>
      </c>
      <c r="Q36" s="11" t="s">
        <v>2</v>
      </c>
      <c r="R36" s="6"/>
      <c r="S36" s="13" t="s">
        <v>1</v>
      </c>
      <c r="T36" s="12" t="s">
        <v>0</v>
      </c>
    </row>
    <row r="37" spans="1:20">
      <c r="A37" s="7">
        <v>0</v>
      </c>
      <c r="B37" s="10">
        <v>0</v>
      </c>
      <c r="C37" s="5">
        <v>0</v>
      </c>
      <c r="D37" s="5">
        <v>0</v>
      </c>
      <c r="E37" s="3">
        <v>0</v>
      </c>
      <c r="F37" s="2"/>
      <c r="G37" s="7">
        <v>0</v>
      </c>
      <c r="H37" s="10">
        <v>0</v>
      </c>
      <c r="I37" s="5">
        <v>0</v>
      </c>
      <c r="J37" s="5">
        <v>0</v>
      </c>
      <c r="K37" s="3">
        <v>0</v>
      </c>
      <c r="L37" s="2"/>
      <c r="M37" s="7">
        <v>0</v>
      </c>
      <c r="N37" s="10">
        <v>0</v>
      </c>
      <c r="O37" s="5">
        <f>N37/25144</f>
        <v>0</v>
      </c>
      <c r="P37" s="5">
        <f>O37*900</f>
        <v>0</v>
      </c>
      <c r="Q37" s="3">
        <f>P37/6.1*100</f>
        <v>0</v>
      </c>
      <c r="R37" s="1"/>
      <c r="S37" s="4">
        <f t="shared" ref="S37:S47" si="1">AVERAGE(E37,K37,Q37)</f>
        <v>0</v>
      </c>
      <c r="T37" s="3">
        <f t="shared" ref="T37:T47" si="2">STDEVP(E37,K37,Q37)</f>
        <v>0</v>
      </c>
    </row>
    <row r="38" spans="1:20">
      <c r="A38" s="7">
        <v>5</v>
      </c>
      <c r="B38" s="10">
        <v>64.7</v>
      </c>
      <c r="C38" s="5">
        <f>B38/128511</f>
        <v>5.0345884788072616E-4</v>
      </c>
      <c r="D38" s="5">
        <f>C38*2*900</f>
        <v>0.90622592618530706</v>
      </c>
      <c r="E38" s="3">
        <f>D38/2.5*100</f>
        <v>36.24903704741228</v>
      </c>
      <c r="F38" s="2"/>
      <c r="G38" s="7">
        <v>5</v>
      </c>
      <c r="H38" s="10">
        <v>43.4</v>
      </c>
      <c r="I38" s="5">
        <f>H38/128511</f>
        <v>3.3771428126775141E-4</v>
      </c>
      <c r="J38" s="5">
        <f>I38*2*900</f>
        <v>0.60788570628195249</v>
      </c>
      <c r="K38" s="3">
        <f>J38/2.5*100</f>
        <v>24.315428251278099</v>
      </c>
      <c r="L38" s="2"/>
      <c r="M38" s="7">
        <v>5</v>
      </c>
      <c r="N38" s="10">
        <v>42.7</v>
      </c>
      <c r="O38" s="5">
        <f>N38/128511</f>
        <v>3.3226727673117478E-4</v>
      </c>
      <c r="P38" s="5">
        <f>O38*2*900</f>
        <v>0.59808109811611465</v>
      </c>
      <c r="Q38" s="3">
        <f>P38/2.5*100</f>
        <v>23.923243924644584</v>
      </c>
      <c r="R38" s="1"/>
      <c r="S38" s="4">
        <f t="shared" si="1"/>
        <v>28.162569741111653</v>
      </c>
      <c r="T38" s="3">
        <f t="shared" si="2"/>
        <v>5.7202370148107136</v>
      </c>
    </row>
    <row r="39" spans="1:20">
      <c r="A39" s="7">
        <v>15</v>
      </c>
      <c r="B39" s="10">
        <v>125.3</v>
      </c>
      <c r="C39" s="5">
        <f t="shared" ref="C39:C47" si="3">B39/128511</f>
        <v>9.7501381204721771E-4</v>
      </c>
      <c r="D39" s="5">
        <f t="shared" ref="D39:D47" si="4">C39*2*900</f>
        <v>1.7550248616849919</v>
      </c>
      <c r="E39" s="3">
        <f t="shared" ref="E39:E47" si="5">D39/2.5*100</f>
        <v>70.200994467399681</v>
      </c>
      <c r="F39" s="2"/>
      <c r="G39" s="7">
        <v>15</v>
      </c>
      <c r="H39" s="6">
        <v>131.30000000000001</v>
      </c>
      <c r="I39" s="5">
        <f t="shared" ref="I39:I47" si="6">H39/128511</f>
        <v>1.0217024223607319E-3</v>
      </c>
      <c r="J39" s="5">
        <f t="shared" ref="J39:J47" si="7">I39*2*900</f>
        <v>1.8390643602493173</v>
      </c>
      <c r="K39" s="3">
        <f t="shared" ref="K39:K47" si="8">J39/2.5*100</f>
        <v>73.562574409972697</v>
      </c>
      <c r="L39" s="2"/>
      <c r="M39" s="7">
        <v>15</v>
      </c>
      <c r="N39" s="6">
        <v>134.80000000000001</v>
      </c>
      <c r="O39" s="5">
        <f t="shared" ref="O39:O47" si="9">N39/128511</f>
        <v>1.048937445043615E-3</v>
      </c>
      <c r="P39" s="5">
        <f t="shared" ref="P39:P47" si="10">O39*2*900</f>
        <v>1.8880874010785071</v>
      </c>
      <c r="Q39" s="3">
        <f t="shared" ref="Q39:Q47" si="11">P39/2.5*100</f>
        <v>75.523496043140284</v>
      </c>
      <c r="R39" s="1"/>
      <c r="S39" s="4">
        <f t="shared" si="1"/>
        <v>73.095688306837559</v>
      </c>
      <c r="T39" s="3">
        <f t="shared" si="2"/>
        <v>2.1978387461194444</v>
      </c>
    </row>
    <row r="40" spans="1:20">
      <c r="A40" s="7">
        <v>30</v>
      </c>
      <c r="B40" s="6">
        <v>144.30000000000001</v>
      </c>
      <c r="C40" s="5">
        <f t="shared" si="3"/>
        <v>1.1228610780400121E-3</v>
      </c>
      <c r="D40" s="5">
        <f t="shared" si="4"/>
        <v>2.0211499404720219</v>
      </c>
      <c r="E40" s="3">
        <f t="shared" si="5"/>
        <v>80.845997618880872</v>
      </c>
      <c r="F40" s="2"/>
      <c r="G40" s="7">
        <v>30</v>
      </c>
      <c r="H40" s="6">
        <v>142.30000000000001</v>
      </c>
      <c r="I40" s="5">
        <f t="shared" si="6"/>
        <v>1.1072982079355076E-3</v>
      </c>
      <c r="J40" s="5">
        <f t="shared" si="7"/>
        <v>1.9931367742839137</v>
      </c>
      <c r="K40" s="3">
        <f t="shared" si="8"/>
        <v>79.725470971356543</v>
      </c>
      <c r="L40" s="2"/>
      <c r="M40" s="7">
        <v>30</v>
      </c>
      <c r="N40" s="6">
        <v>141.81100000000001</v>
      </c>
      <c r="O40" s="5">
        <f t="shared" si="9"/>
        <v>1.1034930861949562E-3</v>
      </c>
      <c r="P40" s="5">
        <f t="shared" si="10"/>
        <v>1.9862875551509211</v>
      </c>
      <c r="Q40" s="3">
        <f t="shared" si="11"/>
        <v>79.451502206036849</v>
      </c>
      <c r="R40" s="1"/>
      <c r="S40" s="4">
        <f t="shared" si="1"/>
        <v>80.007656932091422</v>
      </c>
      <c r="T40" s="3">
        <f t="shared" si="2"/>
        <v>0.6032556403591296</v>
      </c>
    </row>
    <row r="41" spans="1:20">
      <c r="A41" s="7">
        <v>45</v>
      </c>
      <c r="B41" s="6">
        <v>149</v>
      </c>
      <c r="C41" s="5">
        <f t="shared" si="3"/>
        <v>1.1594338227855982E-3</v>
      </c>
      <c r="D41" s="5">
        <f t="shared" si="4"/>
        <v>2.0869808810140769</v>
      </c>
      <c r="E41" s="3">
        <f t="shared" si="5"/>
        <v>83.479235240563071</v>
      </c>
      <c r="F41" s="2"/>
      <c r="G41" s="7">
        <v>45</v>
      </c>
      <c r="H41" s="6">
        <v>146.80000000000001</v>
      </c>
      <c r="I41" s="5">
        <f t="shared" si="6"/>
        <v>1.1423146656706431E-3</v>
      </c>
      <c r="J41" s="5">
        <f t="shared" si="7"/>
        <v>2.0561663982071576</v>
      </c>
      <c r="K41" s="3">
        <f t="shared" si="8"/>
        <v>82.246655928286302</v>
      </c>
      <c r="L41" s="2"/>
      <c r="M41" s="7">
        <v>45</v>
      </c>
      <c r="N41" s="6">
        <v>150.4</v>
      </c>
      <c r="O41" s="5">
        <f t="shared" si="9"/>
        <v>1.1703278318587515E-3</v>
      </c>
      <c r="P41" s="5">
        <f t="shared" si="10"/>
        <v>2.1065900973457525</v>
      </c>
      <c r="Q41" s="3">
        <f t="shared" si="11"/>
        <v>84.263603893830094</v>
      </c>
      <c r="R41" s="1"/>
      <c r="S41" s="4">
        <f t="shared" si="1"/>
        <v>83.329831687559832</v>
      </c>
      <c r="T41" s="3">
        <f t="shared" si="2"/>
        <v>0.83016497965376612</v>
      </c>
    </row>
    <row r="42" spans="1:20">
      <c r="A42" s="7">
        <v>60</v>
      </c>
      <c r="B42" s="6">
        <v>151.5</v>
      </c>
      <c r="C42" s="5">
        <f t="shared" si="3"/>
        <v>1.178887410416229E-3</v>
      </c>
      <c r="D42" s="5">
        <f t="shared" si="4"/>
        <v>2.1219973387492121</v>
      </c>
      <c r="E42" s="3">
        <f t="shared" si="5"/>
        <v>84.879893549968486</v>
      </c>
      <c r="F42" s="2"/>
      <c r="G42" s="7">
        <v>60</v>
      </c>
      <c r="H42" s="6">
        <v>151.80000000000001</v>
      </c>
      <c r="I42" s="5">
        <f t="shared" si="6"/>
        <v>1.1812218409319047E-3</v>
      </c>
      <c r="J42" s="5">
        <f t="shared" si="7"/>
        <v>2.1261993136774286</v>
      </c>
      <c r="K42" s="3">
        <f t="shared" si="8"/>
        <v>85.047972547097146</v>
      </c>
      <c r="L42" s="2"/>
      <c r="M42" s="7">
        <v>60</v>
      </c>
      <c r="N42" s="6">
        <v>154</v>
      </c>
      <c r="O42" s="5">
        <f t="shared" si="9"/>
        <v>1.1983409980468598E-3</v>
      </c>
      <c r="P42" s="5">
        <f t="shared" si="10"/>
        <v>2.1570137964843474</v>
      </c>
      <c r="Q42" s="3">
        <f t="shared" si="11"/>
        <v>86.280551859373901</v>
      </c>
      <c r="R42" s="1"/>
      <c r="S42" s="4">
        <f t="shared" si="1"/>
        <v>85.402805985479858</v>
      </c>
      <c r="T42" s="3">
        <f t="shared" si="2"/>
        <v>0.62444161812639998</v>
      </c>
    </row>
    <row r="43" spans="1:20">
      <c r="A43" s="7">
        <v>75</v>
      </c>
      <c r="B43" s="6">
        <v>155.19999999999999</v>
      </c>
      <c r="C43" s="5">
        <f t="shared" si="3"/>
        <v>1.2076787201095625E-3</v>
      </c>
      <c r="D43" s="5">
        <f t="shared" si="4"/>
        <v>2.1738216961972125</v>
      </c>
      <c r="E43" s="3">
        <f t="shared" si="5"/>
        <v>86.952867847888498</v>
      </c>
      <c r="F43" s="2"/>
      <c r="G43" s="7">
        <v>75</v>
      </c>
      <c r="H43" s="6">
        <v>151.80000000000001</v>
      </c>
      <c r="I43" s="5">
        <f t="shared" si="6"/>
        <v>1.1812218409319047E-3</v>
      </c>
      <c r="J43" s="5">
        <f t="shared" si="7"/>
        <v>2.1261993136774286</v>
      </c>
      <c r="K43" s="3">
        <f t="shared" si="8"/>
        <v>85.047972547097146</v>
      </c>
      <c r="L43" s="2"/>
      <c r="M43" s="7">
        <v>75</v>
      </c>
      <c r="N43" s="10">
        <v>151</v>
      </c>
      <c r="O43" s="5">
        <f t="shared" si="9"/>
        <v>1.1749966928901027E-3</v>
      </c>
      <c r="P43" s="5">
        <f t="shared" si="10"/>
        <v>2.1149940472021846</v>
      </c>
      <c r="Q43" s="3">
        <f t="shared" si="11"/>
        <v>84.599761888087386</v>
      </c>
      <c r="R43" s="1"/>
      <c r="S43" s="4">
        <f t="shared" si="1"/>
        <v>85.533534094357677</v>
      </c>
      <c r="T43" s="3">
        <f t="shared" si="2"/>
        <v>1.0201648319908601</v>
      </c>
    </row>
    <row r="44" spans="1:20">
      <c r="A44" s="7">
        <v>90</v>
      </c>
      <c r="B44" s="6">
        <v>153.19999999999999</v>
      </c>
      <c r="C44" s="5">
        <f t="shared" si="3"/>
        <v>1.1921158500050578E-3</v>
      </c>
      <c r="D44" s="5">
        <f t="shared" si="4"/>
        <v>2.1458085300091039</v>
      </c>
      <c r="E44" s="3">
        <f t="shared" si="5"/>
        <v>85.832341200364155</v>
      </c>
      <c r="F44" s="2"/>
      <c r="G44" s="9">
        <v>90</v>
      </c>
      <c r="H44" s="6">
        <v>148.19999999999999</v>
      </c>
      <c r="I44" s="5">
        <f t="shared" si="6"/>
        <v>1.1532086747437962E-3</v>
      </c>
      <c r="J44" s="5">
        <f t="shared" si="7"/>
        <v>2.0757756145388333</v>
      </c>
      <c r="K44" s="3">
        <f t="shared" si="8"/>
        <v>83.031024581553339</v>
      </c>
      <c r="L44" s="2"/>
      <c r="M44" s="7">
        <v>90</v>
      </c>
      <c r="N44" s="6">
        <v>152.1</v>
      </c>
      <c r="O44" s="5">
        <f t="shared" si="9"/>
        <v>1.1835562714475802E-3</v>
      </c>
      <c r="P44" s="5">
        <f t="shared" si="10"/>
        <v>2.1304012886056443</v>
      </c>
      <c r="Q44" s="3">
        <f t="shared" si="11"/>
        <v>85.216051544225763</v>
      </c>
      <c r="R44" s="1"/>
      <c r="S44" s="4">
        <f t="shared" si="1"/>
        <v>84.693139108714419</v>
      </c>
      <c r="T44" s="3">
        <f t="shared" si="2"/>
        <v>1.2019211735427908</v>
      </c>
    </row>
    <row r="45" spans="1:20">
      <c r="A45" s="7">
        <v>120</v>
      </c>
      <c r="B45" s="10">
        <v>149</v>
      </c>
      <c r="C45" s="5">
        <f t="shared" si="3"/>
        <v>1.1594338227855982E-3</v>
      </c>
      <c r="D45" s="5">
        <f t="shared" si="4"/>
        <v>2.0869808810140769</v>
      </c>
      <c r="E45" s="3">
        <f t="shared" si="5"/>
        <v>83.479235240563071</v>
      </c>
      <c r="F45" s="2"/>
      <c r="G45" s="9">
        <v>120</v>
      </c>
      <c r="H45" s="8">
        <v>143.30000000000001</v>
      </c>
      <c r="I45" s="5">
        <f t="shared" si="6"/>
        <v>1.11507964298776E-3</v>
      </c>
      <c r="J45" s="5">
        <f t="shared" si="7"/>
        <v>2.0071433573779678</v>
      </c>
      <c r="K45" s="3">
        <f t="shared" si="8"/>
        <v>80.285734295118715</v>
      </c>
      <c r="L45" s="2"/>
      <c r="M45" s="7">
        <v>120</v>
      </c>
      <c r="N45" s="6">
        <v>149</v>
      </c>
      <c r="O45" s="5">
        <f t="shared" si="9"/>
        <v>1.1594338227855982E-3</v>
      </c>
      <c r="P45" s="5">
        <f t="shared" si="10"/>
        <v>2.0869808810140769</v>
      </c>
      <c r="Q45" s="3">
        <f t="shared" si="11"/>
        <v>83.479235240563071</v>
      </c>
      <c r="R45" s="1"/>
      <c r="S45" s="4">
        <f t="shared" si="1"/>
        <v>82.414734925414947</v>
      </c>
      <c r="T45" s="3">
        <f t="shared" si="2"/>
        <v>1.5054307828329032</v>
      </c>
    </row>
    <row r="46" spans="1:20">
      <c r="A46" s="7">
        <v>180</v>
      </c>
      <c r="B46" s="10">
        <v>145.1</v>
      </c>
      <c r="C46" s="5">
        <f t="shared" si="3"/>
        <v>1.1290862260818139E-3</v>
      </c>
      <c r="D46" s="5">
        <f t="shared" si="4"/>
        <v>2.032355206947265</v>
      </c>
      <c r="E46" s="3">
        <f t="shared" si="5"/>
        <v>81.294208277890604</v>
      </c>
      <c r="F46" s="2"/>
      <c r="G46" s="9">
        <v>180</v>
      </c>
      <c r="H46" s="8">
        <v>136.4</v>
      </c>
      <c r="I46" s="5">
        <f t="shared" si="6"/>
        <v>1.0613877411272186E-3</v>
      </c>
      <c r="J46" s="5">
        <f t="shared" si="7"/>
        <v>1.9104979340289936</v>
      </c>
      <c r="K46" s="3">
        <f t="shared" si="8"/>
        <v>76.419917361159733</v>
      </c>
      <c r="L46" s="2"/>
      <c r="M46" s="7">
        <v>180</v>
      </c>
      <c r="N46" s="6">
        <v>142.5</v>
      </c>
      <c r="O46" s="5">
        <f t="shared" si="9"/>
        <v>1.108854494945958E-3</v>
      </c>
      <c r="P46" s="5">
        <f t="shared" si="10"/>
        <v>1.9959380909027242</v>
      </c>
      <c r="Q46" s="3">
        <f t="shared" si="11"/>
        <v>79.837523636108969</v>
      </c>
      <c r="R46" s="1"/>
      <c r="S46" s="4">
        <f t="shared" si="1"/>
        <v>79.183883091719778</v>
      </c>
      <c r="T46" s="3">
        <f t="shared" si="2"/>
        <v>2.0428921420677639</v>
      </c>
    </row>
    <row r="47" spans="1:20">
      <c r="A47" s="6">
        <v>360</v>
      </c>
      <c r="B47" s="10">
        <v>139.9</v>
      </c>
      <c r="C47" s="5">
        <f t="shared" si="3"/>
        <v>1.088622763810102E-3</v>
      </c>
      <c r="D47" s="5">
        <f t="shared" si="4"/>
        <v>1.9595209748581837</v>
      </c>
      <c r="E47" s="3">
        <f t="shared" si="5"/>
        <v>78.380838994327348</v>
      </c>
      <c r="F47" s="2"/>
      <c r="G47" s="22">
        <v>360</v>
      </c>
      <c r="H47" s="8">
        <v>124.7</v>
      </c>
      <c r="I47" s="5">
        <f t="shared" si="6"/>
        <v>9.7034495101586636E-4</v>
      </c>
      <c r="J47" s="5">
        <f t="shared" si="7"/>
        <v>1.7466209118285594</v>
      </c>
      <c r="K47" s="3">
        <f t="shared" si="8"/>
        <v>69.864836473142375</v>
      </c>
      <c r="L47" s="2"/>
      <c r="M47" s="6">
        <v>360</v>
      </c>
      <c r="N47" s="6">
        <v>134.5</v>
      </c>
      <c r="O47" s="5">
        <f t="shared" si="9"/>
        <v>1.0466030145279393E-3</v>
      </c>
      <c r="P47" s="5">
        <f t="shared" si="10"/>
        <v>1.8838854261502906</v>
      </c>
      <c r="Q47" s="3">
        <f t="shared" si="11"/>
        <v>75.355417046011624</v>
      </c>
      <c r="R47" s="1"/>
      <c r="S47" s="4">
        <f t="shared" si="1"/>
        <v>74.533697504493773</v>
      </c>
      <c r="T47" s="3">
        <f t="shared" si="2"/>
        <v>3.5248633059918246</v>
      </c>
    </row>
    <row r="48" spans="1:20">
      <c r="A48" s="6"/>
      <c r="B48" s="10"/>
      <c r="C48" s="5"/>
      <c r="D48" s="5"/>
      <c r="E48" s="3"/>
      <c r="F48" s="2"/>
      <c r="G48" s="22"/>
      <c r="H48" s="8"/>
      <c r="I48" s="5"/>
      <c r="J48" s="5"/>
      <c r="K48" s="3"/>
      <c r="L48" s="2"/>
      <c r="M48" s="6"/>
      <c r="N48" s="6"/>
      <c r="O48" s="5"/>
      <c r="P48" s="5"/>
      <c r="Q48" s="3"/>
      <c r="R48" s="1"/>
      <c r="S48" s="1"/>
      <c r="T48" s="1"/>
    </row>
    <row r="49" spans="1:22">
      <c r="A49" s="6"/>
      <c r="B49" s="10"/>
      <c r="C49" s="5"/>
      <c r="D49" s="5"/>
      <c r="E49" s="1"/>
      <c r="F49" s="2"/>
      <c r="G49" s="22"/>
      <c r="H49" s="8"/>
      <c r="I49" s="5"/>
      <c r="J49" s="5"/>
      <c r="K49" s="1"/>
      <c r="L49" s="2"/>
      <c r="M49" s="6"/>
      <c r="N49" s="6"/>
      <c r="O49" s="5"/>
      <c r="P49" s="5"/>
      <c r="Q49" s="1"/>
      <c r="R49" s="1"/>
      <c r="S49" s="1"/>
      <c r="T49" s="1"/>
    </row>
    <row r="50" spans="1:22" ht="17" thickBo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14"/>
      <c r="T50" s="14"/>
    </row>
    <row r="51" spans="1:22">
      <c r="A51" s="39" t="s">
        <v>24</v>
      </c>
      <c r="B51" s="40"/>
      <c r="C51" s="18">
        <v>2.5</v>
      </c>
      <c r="D51" s="18"/>
      <c r="E51" s="17"/>
      <c r="F51" s="2"/>
      <c r="G51" s="39" t="s">
        <v>24</v>
      </c>
      <c r="H51" s="40"/>
      <c r="I51" s="18">
        <v>2.5</v>
      </c>
      <c r="J51" s="18"/>
      <c r="K51" s="17"/>
      <c r="L51" s="2"/>
      <c r="M51" s="39" t="s">
        <v>24</v>
      </c>
      <c r="N51" s="40"/>
      <c r="O51" s="18">
        <v>2.5</v>
      </c>
      <c r="P51" s="18"/>
      <c r="Q51" s="17"/>
      <c r="R51" s="6"/>
      <c r="S51" s="14"/>
      <c r="T51" s="14"/>
    </row>
    <row r="52" spans="1:22" ht="17" thickBot="1">
      <c r="A52" s="16" t="s">
        <v>9</v>
      </c>
      <c r="B52" s="15"/>
      <c r="C52" s="6"/>
      <c r="D52" s="6"/>
      <c r="E52" s="11"/>
      <c r="F52" s="2"/>
      <c r="G52" s="16" t="s">
        <v>8</v>
      </c>
      <c r="H52" s="15"/>
      <c r="I52" s="6"/>
      <c r="J52" s="6"/>
      <c r="K52" s="11"/>
      <c r="L52" s="2"/>
      <c r="M52" s="16" t="s">
        <v>7</v>
      </c>
      <c r="N52" s="15"/>
      <c r="O52" s="6"/>
      <c r="P52" s="6"/>
      <c r="Q52" s="11"/>
      <c r="R52" s="6"/>
      <c r="S52" s="14"/>
      <c r="T52" s="14"/>
    </row>
    <row r="53" spans="1:22">
      <c r="A53" s="7" t="s">
        <v>6</v>
      </c>
      <c r="B53" s="6" t="s">
        <v>5</v>
      </c>
      <c r="C53" s="6" t="s">
        <v>4</v>
      </c>
      <c r="D53" s="6" t="s">
        <v>3</v>
      </c>
      <c r="E53" s="11" t="s">
        <v>2</v>
      </c>
      <c r="F53" s="2"/>
      <c r="G53" s="7" t="s">
        <v>6</v>
      </c>
      <c r="H53" s="6" t="s">
        <v>5</v>
      </c>
      <c r="I53" s="6" t="s">
        <v>4</v>
      </c>
      <c r="J53" s="6" t="s">
        <v>3</v>
      </c>
      <c r="K53" s="11" t="s">
        <v>2</v>
      </c>
      <c r="L53" s="2"/>
      <c r="M53" s="7" t="s">
        <v>6</v>
      </c>
      <c r="N53" s="6" t="s">
        <v>5</v>
      </c>
      <c r="O53" s="6" t="s">
        <v>4</v>
      </c>
      <c r="P53" s="6" t="s">
        <v>3</v>
      </c>
      <c r="Q53" s="11" t="s">
        <v>2</v>
      </c>
      <c r="R53" s="6"/>
      <c r="S53" s="13" t="s">
        <v>1</v>
      </c>
      <c r="T53" s="12" t="s">
        <v>0</v>
      </c>
      <c r="V53" s="22" t="s">
        <v>74</v>
      </c>
    </row>
    <row r="54" spans="1:22">
      <c r="A54" s="7">
        <v>0</v>
      </c>
      <c r="B54" s="6">
        <v>0</v>
      </c>
      <c r="C54" s="6">
        <v>0</v>
      </c>
      <c r="D54" s="6">
        <v>0</v>
      </c>
      <c r="E54" s="11">
        <v>0</v>
      </c>
      <c r="F54" s="2"/>
      <c r="G54" s="7">
        <v>0</v>
      </c>
      <c r="H54" s="6">
        <v>0</v>
      </c>
      <c r="I54" s="6">
        <f>H54/25144</f>
        <v>0</v>
      </c>
      <c r="J54" s="6">
        <f>I54*900</f>
        <v>0</v>
      </c>
      <c r="K54" s="11">
        <f>J54/100*100</f>
        <v>0</v>
      </c>
      <c r="L54" s="2"/>
      <c r="M54" s="7">
        <v>0</v>
      </c>
      <c r="N54" s="6">
        <v>0</v>
      </c>
      <c r="O54" s="6">
        <f>N54/25144</f>
        <v>0</v>
      </c>
      <c r="P54" s="6">
        <f>O54*900</f>
        <v>0</v>
      </c>
      <c r="Q54" s="11">
        <f>P54/100*100</f>
        <v>0</v>
      </c>
      <c r="R54" s="6"/>
      <c r="S54" s="4">
        <f>AVERAGE(E54,K54,Q54)</f>
        <v>0</v>
      </c>
      <c r="T54" s="3">
        <f>STDEVP(E54,K54,Q54)</f>
        <v>0</v>
      </c>
    </row>
    <row r="55" spans="1:22">
      <c r="A55" s="7">
        <v>5</v>
      </c>
      <c r="B55" s="6">
        <v>0</v>
      </c>
      <c r="C55" s="5">
        <f>B55/128511</f>
        <v>0</v>
      </c>
      <c r="D55" s="5">
        <f>C55*2*900</f>
        <v>0</v>
      </c>
      <c r="E55" s="3">
        <v>0</v>
      </c>
      <c r="F55" s="2"/>
      <c r="G55" s="7">
        <v>5</v>
      </c>
      <c r="H55" s="6">
        <v>0</v>
      </c>
      <c r="I55" s="5">
        <f>H55/25149</f>
        <v>0</v>
      </c>
      <c r="J55" s="5">
        <v>0</v>
      </c>
      <c r="K55" s="3">
        <v>0</v>
      </c>
      <c r="L55" s="2"/>
      <c r="M55" s="7">
        <v>5</v>
      </c>
      <c r="N55" s="6">
        <v>0</v>
      </c>
      <c r="O55" s="5">
        <f>N55/129441</f>
        <v>0</v>
      </c>
      <c r="P55" s="5">
        <f>O55*2*900</f>
        <v>0</v>
      </c>
      <c r="Q55" s="3">
        <f>P55/2.5*100</f>
        <v>0</v>
      </c>
      <c r="R55" s="1"/>
      <c r="S55" s="4">
        <f t="shared" ref="S55:S64" si="12">AVERAGE(E55,K55,Q55)</f>
        <v>0</v>
      </c>
      <c r="T55" s="3">
        <f>STDEVP(E55,K55,Q55)</f>
        <v>0</v>
      </c>
    </row>
    <row r="56" spans="1:22">
      <c r="A56" s="7">
        <v>15</v>
      </c>
      <c r="B56" s="6">
        <v>0</v>
      </c>
      <c r="C56" s="5">
        <f t="shared" ref="C56:C64" si="13">B56/128511</f>
        <v>0</v>
      </c>
      <c r="D56" s="5">
        <f t="shared" ref="D56:D64" si="14">C56*2*900</f>
        <v>0</v>
      </c>
      <c r="E56" s="3">
        <f t="shared" ref="E56" si="15">D56/5.49*100</f>
        <v>0</v>
      </c>
      <c r="F56" s="2"/>
      <c r="G56" s="7">
        <v>15</v>
      </c>
      <c r="H56" s="6">
        <v>0</v>
      </c>
      <c r="I56" s="5">
        <f t="shared" ref="I56:I64" si="16">H56/25149</f>
        <v>0</v>
      </c>
      <c r="J56" s="5">
        <f t="shared" ref="J56:J64" si="17">I56*400</f>
        <v>0</v>
      </c>
      <c r="K56" s="3">
        <f t="shared" ref="K56:K64" si="18">J56/5.49*100</f>
        <v>0</v>
      </c>
      <c r="L56" s="2"/>
      <c r="M56" s="7">
        <v>15</v>
      </c>
      <c r="N56" s="6">
        <v>0</v>
      </c>
      <c r="O56" s="5">
        <f t="shared" ref="O56:O64" si="19">N56/129441</f>
        <v>0</v>
      </c>
      <c r="P56" s="5">
        <f t="shared" ref="P56:P64" si="20">O56*2*900</f>
        <v>0</v>
      </c>
      <c r="Q56" s="3">
        <f t="shared" ref="Q56:Q64" si="21">P56/2.5*100</f>
        <v>0</v>
      </c>
      <c r="R56" s="1"/>
      <c r="S56" s="4">
        <f t="shared" si="12"/>
        <v>0</v>
      </c>
      <c r="T56" s="3">
        <f t="shared" ref="T56:T64" si="22">STDEVP(E56,K56,Q56)</f>
        <v>0</v>
      </c>
    </row>
    <row r="57" spans="1:22">
      <c r="A57" s="7">
        <v>30</v>
      </c>
      <c r="B57" s="6">
        <v>14.9</v>
      </c>
      <c r="C57" s="5">
        <f t="shared" si="13"/>
        <v>1.1594338227855981E-4</v>
      </c>
      <c r="D57" s="5">
        <f t="shared" si="14"/>
        <v>0.20869808810140766</v>
      </c>
      <c r="E57" s="3">
        <f>D57/2.5*100</f>
        <v>8.3479235240563074</v>
      </c>
      <c r="F57" s="2"/>
      <c r="G57" s="7">
        <v>30</v>
      </c>
      <c r="H57" s="6">
        <v>19.399999999999999</v>
      </c>
      <c r="I57" s="5">
        <f t="shared" si="16"/>
        <v>7.7140244144896411E-4</v>
      </c>
      <c r="J57" s="5">
        <f t="shared" si="17"/>
        <v>0.30856097657958564</v>
      </c>
      <c r="K57" s="3">
        <f t="shared" si="18"/>
        <v>5.6204185169323431</v>
      </c>
      <c r="L57" s="2"/>
      <c r="M57" s="7">
        <v>30</v>
      </c>
      <c r="N57" s="6">
        <v>21.3</v>
      </c>
      <c r="O57" s="5">
        <f t="shared" si="19"/>
        <v>1.6455373490625072E-4</v>
      </c>
      <c r="P57" s="5">
        <f t="shared" si="20"/>
        <v>0.29619672283125131</v>
      </c>
      <c r="Q57" s="3">
        <f t="shared" si="21"/>
        <v>11.847868913250052</v>
      </c>
      <c r="R57" s="1"/>
      <c r="S57" s="4">
        <f t="shared" si="12"/>
        <v>8.6054036514129013</v>
      </c>
      <c r="T57" s="3">
        <f t="shared" si="22"/>
        <v>2.5488568184759588</v>
      </c>
      <c r="V57">
        <f>T57/S57</f>
        <v>0.29619259266908043</v>
      </c>
    </row>
    <row r="58" spans="1:22">
      <c r="A58" s="7">
        <v>45</v>
      </c>
      <c r="B58" s="6">
        <v>21.4</v>
      </c>
      <c r="C58" s="5">
        <f t="shared" si="13"/>
        <v>1.6652271011819998E-4</v>
      </c>
      <c r="D58" s="5">
        <f t="shared" si="14"/>
        <v>0.29974087821275996</v>
      </c>
      <c r="E58" s="3">
        <f t="shared" ref="E58:E64" si="23">D58/2.5*100</f>
        <v>11.989635128510399</v>
      </c>
      <c r="F58" s="2"/>
      <c r="G58" s="7">
        <v>45</v>
      </c>
      <c r="H58" s="6">
        <v>22.2</v>
      </c>
      <c r="I58" s="5">
        <f t="shared" si="16"/>
        <v>8.8273887629726825E-4</v>
      </c>
      <c r="J58" s="5">
        <f t="shared" si="17"/>
        <v>0.35309555051890729</v>
      </c>
      <c r="K58" s="3">
        <f t="shared" si="18"/>
        <v>6.4316129420565984</v>
      </c>
      <c r="L58" s="2"/>
      <c r="M58" s="7">
        <v>45</v>
      </c>
      <c r="N58" s="6">
        <v>13.6</v>
      </c>
      <c r="O58" s="5">
        <f t="shared" si="19"/>
        <v>1.0506717346126807E-4</v>
      </c>
      <c r="P58" s="5">
        <f t="shared" si="20"/>
        <v>0.18912091223028252</v>
      </c>
      <c r="Q58" s="3">
        <f t="shared" si="21"/>
        <v>7.5648364892113005</v>
      </c>
      <c r="R58" s="1"/>
      <c r="S58" s="4">
        <f t="shared" si="12"/>
        <v>8.6620281865927655</v>
      </c>
      <c r="T58" s="3">
        <f t="shared" si="22"/>
        <v>2.3980234738745811</v>
      </c>
      <c r="V58">
        <f t="shared" ref="V58:V64" si="24">T58/S58</f>
        <v>0.27684318524687818</v>
      </c>
    </row>
    <row r="59" spans="1:22">
      <c r="A59" s="7">
        <v>60</v>
      </c>
      <c r="B59" s="6">
        <v>35.200000000000003</v>
      </c>
      <c r="C59" s="5">
        <f t="shared" si="13"/>
        <v>2.7390651383928224E-4</v>
      </c>
      <c r="D59" s="5">
        <f t="shared" si="14"/>
        <v>0.49303172491070801</v>
      </c>
      <c r="E59" s="3">
        <f t="shared" si="23"/>
        <v>19.721268996428321</v>
      </c>
      <c r="F59" s="2"/>
      <c r="G59" s="7">
        <v>60</v>
      </c>
      <c r="H59" s="6">
        <v>32</v>
      </c>
      <c r="I59" s="5">
        <f t="shared" si="16"/>
        <v>1.2724163982663326E-3</v>
      </c>
      <c r="J59" s="5">
        <f t="shared" si="17"/>
        <v>0.50896655930653301</v>
      </c>
      <c r="K59" s="3">
        <f t="shared" si="18"/>
        <v>9.2707934299914925</v>
      </c>
      <c r="L59" s="2"/>
      <c r="M59" s="7">
        <v>60</v>
      </c>
      <c r="N59" s="6">
        <v>28.8</v>
      </c>
      <c r="O59" s="5">
        <f t="shared" si="19"/>
        <v>2.2249519085915592E-4</v>
      </c>
      <c r="P59" s="5">
        <f t="shared" si="20"/>
        <v>0.40049134354648064</v>
      </c>
      <c r="Q59" s="3">
        <f t="shared" si="21"/>
        <v>16.019653741859223</v>
      </c>
      <c r="R59" s="1"/>
      <c r="S59" s="4">
        <f t="shared" si="12"/>
        <v>15.003905389426345</v>
      </c>
      <c r="T59" s="3">
        <f t="shared" si="22"/>
        <v>4.3264241144988587</v>
      </c>
      <c r="V59">
        <f t="shared" si="24"/>
        <v>0.28835319886433075</v>
      </c>
    </row>
    <row r="60" spans="1:22">
      <c r="A60" s="7">
        <v>75</v>
      </c>
      <c r="B60" s="6">
        <v>40.200000000000003</v>
      </c>
      <c r="C60" s="5">
        <f t="shared" si="13"/>
        <v>3.1281368910054394E-4</v>
      </c>
      <c r="D60" s="5">
        <f t="shared" si="14"/>
        <v>0.56306464038097903</v>
      </c>
      <c r="E60" s="3">
        <f t="shared" si="23"/>
        <v>22.522585615239159</v>
      </c>
      <c r="F60" s="2"/>
      <c r="G60" s="7">
        <v>75</v>
      </c>
      <c r="H60" s="6">
        <v>19.899999999999999</v>
      </c>
      <c r="I60" s="5">
        <f t="shared" si="16"/>
        <v>7.9128394767187559E-4</v>
      </c>
      <c r="J60" s="5">
        <f t="shared" si="17"/>
        <v>0.31651357906875022</v>
      </c>
      <c r="K60" s="3">
        <f t="shared" si="18"/>
        <v>5.7652746642759602</v>
      </c>
      <c r="L60" s="2"/>
      <c r="M60" s="7">
        <v>75</v>
      </c>
      <c r="N60" s="6">
        <v>31.4</v>
      </c>
      <c r="O60" s="5">
        <f t="shared" si="19"/>
        <v>2.4258156225616303E-4</v>
      </c>
      <c r="P60" s="5">
        <f t="shared" si="20"/>
        <v>0.43664681206109346</v>
      </c>
      <c r="Q60" s="3">
        <f t="shared" si="21"/>
        <v>17.465872482443739</v>
      </c>
      <c r="R60" s="1"/>
      <c r="S60" s="4">
        <f t="shared" si="12"/>
        <v>15.251244253986286</v>
      </c>
      <c r="T60" s="3">
        <f t="shared" si="22"/>
        <v>7.0180862167938738</v>
      </c>
      <c r="V60">
        <f t="shared" si="24"/>
        <v>0.46016482982754181</v>
      </c>
    </row>
    <row r="61" spans="1:22">
      <c r="A61" s="7">
        <v>90</v>
      </c>
      <c r="B61" s="6">
        <v>48.5</v>
      </c>
      <c r="C61" s="5">
        <f t="shared" si="13"/>
        <v>3.7739960003423833E-4</v>
      </c>
      <c r="D61" s="5">
        <f t="shared" si="14"/>
        <v>0.67931928006162901</v>
      </c>
      <c r="E61" s="3">
        <f t="shared" si="23"/>
        <v>27.172771202465164</v>
      </c>
      <c r="F61" s="2"/>
      <c r="G61" s="7">
        <v>90</v>
      </c>
      <c r="H61" s="6">
        <v>40.200000000000003</v>
      </c>
      <c r="I61" s="5">
        <f t="shared" si="16"/>
        <v>1.5984731003220805E-3</v>
      </c>
      <c r="J61" s="5">
        <f t="shared" si="17"/>
        <v>0.63938924012883225</v>
      </c>
      <c r="K61" s="3">
        <f t="shared" si="18"/>
        <v>11.646434246426816</v>
      </c>
      <c r="L61" s="2"/>
      <c r="M61" s="7">
        <v>90</v>
      </c>
      <c r="N61" s="6">
        <v>41.4</v>
      </c>
      <c r="O61" s="5">
        <f t="shared" si="19"/>
        <v>3.1983683686003661E-4</v>
      </c>
      <c r="P61" s="5">
        <f t="shared" si="20"/>
        <v>0.57570630634806585</v>
      </c>
      <c r="Q61" s="3">
        <f t="shared" si="21"/>
        <v>23.028252253922634</v>
      </c>
      <c r="R61" s="1"/>
      <c r="S61" s="4">
        <f t="shared" si="12"/>
        <v>20.615819234271537</v>
      </c>
      <c r="T61" s="3">
        <f t="shared" si="22"/>
        <v>6.5641277472759905</v>
      </c>
      <c r="V61">
        <f t="shared" si="24"/>
        <v>0.31840246912738973</v>
      </c>
    </row>
    <row r="62" spans="1:22">
      <c r="A62" s="7">
        <v>120</v>
      </c>
      <c r="B62" s="10">
        <v>51.3</v>
      </c>
      <c r="C62" s="5">
        <f t="shared" si="13"/>
        <v>3.9918761818054485E-4</v>
      </c>
      <c r="D62" s="5">
        <f t="shared" si="14"/>
        <v>0.71853771272498068</v>
      </c>
      <c r="E62" s="3">
        <f t="shared" si="23"/>
        <v>28.741508508999225</v>
      </c>
      <c r="F62" s="2"/>
      <c r="G62" s="9">
        <v>120</v>
      </c>
      <c r="H62" s="8">
        <v>35</v>
      </c>
      <c r="I62" s="5">
        <f t="shared" si="16"/>
        <v>1.3917054356038013E-3</v>
      </c>
      <c r="J62" s="5">
        <f t="shared" si="17"/>
        <v>0.55668217424152056</v>
      </c>
      <c r="K62" s="3">
        <f t="shared" si="18"/>
        <v>10.139930314053197</v>
      </c>
      <c r="L62" s="2"/>
      <c r="M62" s="7">
        <v>120</v>
      </c>
      <c r="N62" s="6">
        <v>45.5</v>
      </c>
      <c r="O62" s="5">
        <f t="shared" si="19"/>
        <v>3.5151149944762479E-4</v>
      </c>
      <c r="P62" s="5">
        <f t="shared" si="20"/>
        <v>0.63272069900572459</v>
      </c>
      <c r="Q62" s="3">
        <f t="shared" si="21"/>
        <v>25.308827960228985</v>
      </c>
      <c r="R62" s="1"/>
      <c r="S62" s="4">
        <f t="shared" si="12"/>
        <v>21.396755594427134</v>
      </c>
      <c r="T62" s="3">
        <f t="shared" si="22"/>
        <v>8.0821989780886518</v>
      </c>
      <c r="V62">
        <f t="shared" si="24"/>
        <v>0.37773011625153541</v>
      </c>
    </row>
    <row r="63" spans="1:22">
      <c r="A63" s="7">
        <v>180</v>
      </c>
      <c r="B63" s="10">
        <v>61.8</v>
      </c>
      <c r="C63" s="5">
        <f t="shared" si="13"/>
        <v>4.8089268622919436E-4</v>
      </c>
      <c r="D63" s="5">
        <f t="shared" si="14"/>
        <v>0.86560683521254989</v>
      </c>
      <c r="E63" s="3">
        <f t="shared" si="23"/>
        <v>34.624273408501992</v>
      </c>
      <c r="F63" s="2"/>
      <c r="G63" s="9">
        <v>180</v>
      </c>
      <c r="H63" s="8">
        <v>50.3</v>
      </c>
      <c r="I63" s="5">
        <f t="shared" si="16"/>
        <v>2.0000795260248917E-3</v>
      </c>
      <c r="J63" s="5">
        <f t="shared" si="17"/>
        <v>0.80003181040995663</v>
      </c>
      <c r="K63" s="3">
        <f t="shared" si="18"/>
        <v>14.57252842276788</v>
      </c>
      <c r="L63" s="2"/>
      <c r="M63" s="7">
        <v>180</v>
      </c>
      <c r="N63" s="6">
        <v>64.3</v>
      </c>
      <c r="O63" s="5">
        <f t="shared" si="19"/>
        <v>4.9675141570290713E-4</v>
      </c>
      <c r="P63" s="5">
        <f t="shared" si="20"/>
        <v>0.89415254826523283</v>
      </c>
      <c r="Q63" s="3">
        <f t="shared" si="21"/>
        <v>35.76610193060931</v>
      </c>
      <c r="R63" s="1"/>
      <c r="S63" s="4">
        <f t="shared" si="12"/>
        <v>28.320967920626391</v>
      </c>
      <c r="T63" s="3">
        <f t="shared" si="22"/>
        <v>9.7327842732071161</v>
      </c>
      <c r="V63">
        <f t="shared" si="24"/>
        <v>0.34366001545161351</v>
      </c>
    </row>
    <row r="64" spans="1:22">
      <c r="A64" s="9">
        <v>360</v>
      </c>
      <c r="B64" s="22">
        <v>63.9</v>
      </c>
      <c r="C64" s="5">
        <f t="shared" si="13"/>
        <v>4.9723369983892425E-4</v>
      </c>
      <c r="D64" s="5">
        <f t="shared" si="14"/>
        <v>0.89502065971006362</v>
      </c>
      <c r="E64" s="3">
        <f t="shared" si="23"/>
        <v>35.800826388402548</v>
      </c>
      <c r="G64" s="9">
        <v>360</v>
      </c>
      <c r="H64" s="22">
        <v>49.3</v>
      </c>
      <c r="I64" s="23">
        <f t="shared" si="16"/>
        <v>1.9603165135790687E-3</v>
      </c>
      <c r="J64" s="23">
        <f t="shared" si="17"/>
        <v>0.78412660543162749</v>
      </c>
      <c r="K64" s="24">
        <f t="shared" si="18"/>
        <v>14.282816128080647</v>
      </c>
      <c r="M64" s="9">
        <v>360</v>
      </c>
      <c r="N64" s="22">
        <v>61.6</v>
      </c>
      <c r="O64" s="5">
        <f t="shared" si="19"/>
        <v>4.7589249155986129E-4</v>
      </c>
      <c r="P64" s="5">
        <f t="shared" si="20"/>
        <v>0.85660648480775037</v>
      </c>
      <c r="Q64" s="3">
        <f t="shared" si="21"/>
        <v>34.264259392310016</v>
      </c>
      <c r="S64" s="4">
        <f t="shared" si="12"/>
        <v>28.115967302931068</v>
      </c>
      <c r="T64" s="24">
        <f t="shared" si="22"/>
        <v>9.8016091571084907</v>
      </c>
      <c r="V64">
        <f t="shared" si="24"/>
        <v>0.34861362056309836</v>
      </c>
    </row>
    <row r="65" spans="1:20">
      <c r="A65" s="9"/>
      <c r="B65" s="22"/>
      <c r="C65" s="5"/>
      <c r="D65" s="5"/>
      <c r="E65" s="3"/>
      <c r="G65" s="9"/>
      <c r="H65" s="22"/>
      <c r="I65" s="23"/>
      <c r="J65" s="23"/>
      <c r="K65" s="24"/>
      <c r="M65" s="9"/>
      <c r="N65" s="22"/>
      <c r="O65" s="5"/>
      <c r="P65" s="5"/>
      <c r="Q65" s="3"/>
      <c r="S65" s="4"/>
      <c r="T65" s="24"/>
    </row>
    <row r="68" spans="1:20">
      <c r="B68" t="s">
        <v>14</v>
      </c>
      <c r="C68" t="s">
        <v>10</v>
      </c>
    </row>
    <row r="69" spans="1:20">
      <c r="A69" t="s">
        <v>19</v>
      </c>
      <c r="B69">
        <v>42.57</v>
      </c>
      <c r="C69">
        <v>81</v>
      </c>
    </row>
    <row r="70" spans="1:20">
      <c r="B70">
        <v>62.43</v>
      </c>
      <c r="C70">
        <v>101.4</v>
      </c>
    </row>
    <row r="71" spans="1:20">
      <c r="B71">
        <v>66.98</v>
      </c>
      <c r="C71">
        <v>85.57</v>
      </c>
    </row>
    <row r="73" spans="1:20">
      <c r="A73" t="s">
        <v>20</v>
      </c>
      <c r="B73">
        <f>_xlfn.T.TEST(B69:B71,C69:C71,2,2)</f>
        <v>3.0108439981409336E-2</v>
      </c>
    </row>
  </sheetData>
  <mergeCells count="6">
    <mergeCell ref="A34:B34"/>
    <mergeCell ref="G34:H34"/>
    <mergeCell ref="M34:N34"/>
    <mergeCell ref="A51:B51"/>
    <mergeCell ref="G51:H51"/>
    <mergeCell ref="M51:N51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12F1F-7938-6940-9BE6-A838ABB40CC4}">
  <dimension ref="A1:V92"/>
  <sheetViews>
    <sheetView workbookViewId="0">
      <selection activeCell="C90" sqref="C90"/>
    </sheetView>
  </sheetViews>
  <sheetFormatPr baseColWidth="10" defaultRowHeight="16"/>
  <cols>
    <col min="2" max="2" width="21" customWidth="1"/>
    <col min="3" max="3" width="12.1640625" bestFit="1" customWidth="1"/>
  </cols>
  <sheetData>
    <row r="1" spans="1:3">
      <c r="A1" t="s">
        <v>18</v>
      </c>
      <c r="C1">
        <v>66.724999999999994</v>
      </c>
    </row>
    <row r="2" spans="1:3">
      <c r="A2" t="s">
        <v>17</v>
      </c>
      <c r="B2" t="s">
        <v>16</v>
      </c>
      <c r="C2">
        <v>65.349000000000004</v>
      </c>
    </row>
    <row r="3" spans="1:3">
      <c r="A3" s="19">
        <v>5.0000000000000001E-4</v>
      </c>
      <c r="B3" s="20">
        <f>AVERAGE(C1:C3)</f>
        <v>65.713333333333338</v>
      </c>
      <c r="C3">
        <v>65.066000000000003</v>
      </c>
    </row>
    <row r="4" spans="1:3">
      <c r="A4" s="19">
        <v>1E-3</v>
      </c>
      <c r="B4">
        <v>128.90100000000001</v>
      </c>
    </row>
    <row r="5" spans="1:3">
      <c r="A5" s="19">
        <v>0.01</v>
      </c>
      <c r="B5" s="21">
        <v>1299.7260000000001</v>
      </c>
    </row>
    <row r="6" spans="1:3">
      <c r="A6" s="19">
        <v>0.05</v>
      </c>
      <c r="B6" s="21">
        <v>6527.3069999999998</v>
      </c>
    </row>
    <row r="7" spans="1:3">
      <c r="A7" s="19">
        <v>0.1</v>
      </c>
      <c r="B7" s="21">
        <v>12915.986999999999</v>
      </c>
    </row>
    <row r="9" spans="1:3">
      <c r="A9" t="s">
        <v>0</v>
      </c>
      <c r="B9" t="s">
        <v>15</v>
      </c>
    </row>
    <row r="10" spans="1:3">
      <c r="A10">
        <f>STDEV(C1:C3)</f>
        <v>0.88748201859717957</v>
      </c>
      <c r="B10">
        <f>3*A10/26064</f>
        <v>1.0215032442416892E-4</v>
      </c>
    </row>
    <row r="16" spans="1:3">
      <c r="A16" t="s">
        <v>29</v>
      </c>
      <c r="B16" t="s">
        <v>30</v>
      </c>
    </row>
    <row r="17" spans="1:20">
      <c r="A17" t="s">
        <v>25</v>
      </c>
      <c r="B17" t="s">
        <v>44</v>
      </c>
    </row>
    <row r="18" spans="1:20">
      <c r="A18" t="s">
        <v>26</v>
      </c>
      <c r="B18" t="s">
        <v>43</v>
      </c>
    </row>
    <row r="19" spans="1:20">
      <c r="A19" t="s">
        <v>27</v>
      </c>
      <c r="B19" t="s">
        <v>45</v>
      </c>
    </row>
    <row r="20" spans="1:20">
      <c r="A20" t="s">
        <v>28</v>
      </c>
      <c r="B20" t="s">
        <v>33</v>
      </c>
    </row>
    <row r="21" spans="1:20">
      <c r="A21" t="s">
        <v>34</v>
      </c>
      <c r="B21" t="s">
        <v>41</v>
      </c>
    </row>
    <row r="24" spans="1:20">
      <c r="A24" t="s">
        <v>22</v>
      </c>
      <c r="B24" t="s">
        <v>23</v>
      </c>
    </row>
    <row r="25" spans="1:20">
      <c r="A25" t="s">
        <v>16</v>
      </c>
      <c r="B25" t="s">
        <v>21</v>
      </c>
    </row>
    <row r="26" spans="1:20">
      <c r="A26">
        <v>109.7</v>
      </c>
      <c r="B26">
        <f>A26/25144</f>
        <v>4.3628698695513841E-3</v>
      </c>
    </row>
    <row r="27" spans="1:20">
      <c r="A27">
        <v>124.1</v>
      </c>
      <c r="B27">
        <f t="shared" ref="B27:B28" si="0">A27/25144</f>
        <v>4.9355711104040727E-3</v>
      </c>
    </row>
    <row r="28" spans="1:20">
      <c r="A28">
        <v>116.5</v>
      </c>
      <c r="B28">
        <f t="shared" si="0"/>
        <v>4.6333121221762644E-3</v>
      </c>
    </row>
    <row r="29" spans="1:20">
      <c r="B29">
        <f>AVERAGE(B26:B28)</f>
        <v>4.6439177007105738E-3</v>
      </c>
    </row>
    <row r="31" spans="1:20" ht="17" thickBot="1"/>
    <row r="32" spans="1:20">
      <c r="A32" s="39" t="s">
        <v>42</v>
      </c>
      <c r="B32" s="40"/>
      <c r="C32" s="18">
        <v>1.25</v>
      </c>
      <c r="D32" s="18"/>
      <c r="E32" s="17"/>
      <c r="F32" s="2"/>
      <c r="G32" s="39" t="s">
        <v>42</v>
      </c>
      <c r="H32" s="40"/>
      <c r="I32" s="18">
        <v>1.25</v>
      </c>
      <c r="J32" s="18"/>
      <c r="K32" s="17"/>
      <c r="L32" s="2"/>
      <c r="M32" s="39" t="s">
        <v>42</v>
      </c>
      <c r="N32" s="40"/>
      <c r="O32" s="18">
        <v>1.25</v>
      </c>
      <c r="P32" s="18"/>
      <c r="Q32" s="17"/>
      <c r="R32" s="6"/>
      <c r="S32" s="2"/>
      <c r="T32" s="2"/>
    </row>
    <row r="33" spans="1:22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  <c r="V34" s="22" t="s">
        <v>74</v>
      </c>
    </row>
    <row r="35" spans="1:22">
      <c r="A35" s="7">
        <v>0</v>
      </c>
      <c r="B35" s="10">
        <v>0</v>
      </c>
      <c r="C35" s="5">
        <f>B35/129441</f>
        <v>0</v>
      </c>
      <c r="D35" s="5">
        <f>C35*450</f>
        <v>0</v>
      </c>
      <c r="E35" s="3">
        <f>D35/1.25*100</f>
        <v>0</v>
      </c>
      <c r="F35" s="2"/>
      <c r="G35" s="7">
        <v>0</v>
      </c>
      <c r="H35" s="10">
        <v>0</v>
      </c>
      <c r="I35" s="5">
        <f>H35/129441</f>
        <v>0</v>
      </c>
      <c r="J35" s="5">
        <f>I35*450</f>
        <v>0</v>
      </c>
      <c r="K35" s="3">
        <f>J35/1.25*100</f>
        <v>0</v>
      </c>
      <c r="L35" s="2"/>
      <c r="M35" s="7">
        <v>0</v>
      </c>
      <c r="N35" s="10">
        <v>0</v>
      </c>
      <c r="O35" s="5">
        <f>N35/129441</f>
        <v>0</v>
      </c>
      <c r="P35" s="5">
        <f>O35*450</f>
        <v>0</v>
      </c>
      <c r="Q35" s="3">
        <f>P35/1.25*100</f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2">
      <c r="A36" s="7">
        <v>5</v>
      </c>
      <c r="B36" s="10">
        <v>0</v>
      </c>
      <c r="C36" s="5">
        <f t="shared" ref="C36:C45" si="3">B36/129441</f>
        <v>0</v>
      </c>
      <c r="D36" s="5">
        <f t="shared" ref="D36:D45" si="4">C36*450</f>
        <v>0</v>
      </c>
      <c r="E36" s="3">
        <f t="shared" ref="E36:E45" si="5">D36/1.25*100</f>
        <v>0</v>
      </c>
      <c r="F36" s="2"/>
      <c r="G36" s="7">
        <v>5</v>
      </c>
      <c r="H36" s="10">
        <v>0</v>
      </c>
      <c r="I36" s="5">
        <f t="shared" ref="I36:I45" si="6">H36/129441</f>
        <v>0</v>
      </c>
      <c r="J36" s="5">
        <f t="shared" ref="J36:J45" si="7">I36*450</f>
        <v>0</v>
      </c>
      <c r="K36" s="3">
        <f t="shared" ref="K36:K45" si="8">J36/1.25*100</f>
        <v>0</v>
      </c>
      <c r="L36" s="2"/>
      <c r="M36" s="7">
        <v>5</v>
      </c>
      <c r="N36" s="10">
        <v>0</v>
      </c>
      <c r="O36" s="5">
        <f t="shared" ref="O36:O45" si="9">N36/129441</f>
        <v>0</v>
      </c>
      <c r="P36" s="5">
        <f t="shared" ref="P36:P45" si="10">O36*450</f>
        <v>0</v>
      </c>
      <c r="Q36" s="3">
        <f t="shared" ref="Q36:Q45" si="11">P36/1.25*100</f>
        <v>0</v>
      </c>
      <c r="R36" s="1"/>
      <c r="S36" s="4">
        <f t="shared" si="1"/>
        <v>0</v>
      </c>
      <c r="T36" s="3">
        <f t="shared" si="2"/>
        <v>0</v>
      </c>
    </row>
    <row r="37" spans="1:22">
      <c r="A37" s="7">
        <v>15</v>
      </c>
      <c r="B37" s="10">
        <v>13.9</v>
      </c>
      <c r="C37" s="5">
        <f t="shared" si="3"/>
        <v>1.0738483169938428E-4</v>
      </c>
      <c r="D37" s="5">
        <f t="shared" si="4"/>
        <v>4.8323174264722928E-2</v>
      </c>
      <c r="E37" s="3">
        <f t="shared" si="5"/>
        <v>3.8658539411778339</v>
      </c>
      <c r="F37" s="2"/>
      <c r="G37" s="7">
        <v>15</v>
      </c>
      <c r="H37" s="6">
        <v>15.5</v>
      </c>
      <c r="I37" s="5">
        <f t="shared" si="6"/>
        <v>1.1974567563600405E-4</v>
      </c>
      <c r="J37" s="5">
        <f t="shared" si="7"/>
        <v>5.3885554036201821E-2</v>
      </c>
      <c r="K37" s="3">
        <f t="shared" si="8"/>
        <v>4.3108443228961457</v>
      </c>
      <c r="L37" s="2"/>
      <c r="M37" s="7">
        <v>15</v>
      </c>
      <c r="N37" s="6">
        <v>0</v>
      </c>
      <c r="O37" s="5">
        <f t="shared" si="9"/>
        <v>0</v>
      </c>
      <c r="P37" s="5">
        <f t="shared" si="10"/>
        <v>0</v>
      </c>
      <c r="Q37" s="3">
        <f t="shared" si="11"/>
        <v>0</v>
      </c>
      <c r="R37" s="1"/>
      <c r="S37" s="4">
        <f t="shared" si="1"/>
        <v>2.7255660880246602</v>
      </c>
      <c r="T37" s="3">
        <f t="shared" si="2"/>
        <v>1.9358093888772534</v>
      </c>
      <c r="V37">
        <f>T37/S37</f>
        <v>0.71024122195482009</v>
      </c>
    </row>
    <row r="38" spans="1:22">
      <c r="A38" s="7">
        <v>30</v>
      </c>
      <c r="B38" s="6">
        <v>31.7</v>
      </c>
      <c r="C38" s="5">
        <f t="shared" si="3"/>
        <v>2.4489922049427922E-4</v>
      </c>
      <c r="D38" s="5">
        <f t="shared" si="4"/>
        <v>0.11020464922242565</v>
      </c>
      <c r="E38" s="3">
        <f t="shared" si="5"/>
        <v>8.8163719377940506</v>
      </c>
      <c r="F38" s="2"/>
      <c r="G38" s="7">
        <v>30</v>
      </c>
      <c r="H38" s="6">
        <v>37.6</v>
      </c>
      <c r="I38" s="5">
        <f t="shared" si="6"/>
        <v>2.9047983251056467E-4</v>
      </c>
      <c r="J38" s="5">
        <f t="shared" si="7"/>
        <v>0.13071592462975409</v>
      </c>
      <c r="K38" s="3">
        <f t="shared" si="8"/>
        <v>10.457273970380328</v>
      </c>
      <c r="L38" s="2"/>
      <c r="M38" s="7">
        <v>30</v>
      </c>
      <c r="N38" s="6">
        <v>0</v>
      </c>
      <c r="O38" s="5">
        <f t="shared" si="9"/>
        <v>0</v>
      </c>
      <c r="P38" s="5">
        <f t="shared" si="10"/>
        <v>0</v>
      </c>
      <c r="Q38" s="3">
        <f t="shared" si="11"/>
        <v>0</v>
      </c>
      <c r="R38" s="1"/>
      <c r="S38" s="4">
        <f t="shared" si="1"/>
        <v>6.4245486360581268</v>
      </c>
      <c r="T38" s="3">
        <f t="shared" si="2"/>
        <v>4.5919682601214102</v>
      </c>
      <c r="V38">
        <f t="shared" ref="V38:V45" si="12">T38/S38</f>
        <v>0.71475344343238989</v>
      </c>
    </row>
    <row r="39" spans="1:22">
      <c r="A39" s="7">
        <v>45</v>
      </c>
      <c r="B39" s="6">
        <v>48.9</v>
      </c>
      <c r="C39" s="5">
        <f t="shared" si="3"/>
        <v>3.7777829281294181E-4</v>
      </c>
      <c r="D39" s="5">
        <f t="shared" si="4"/>
        <v>0.17000023176582382</v>
      </c>
      <c r="E39" s="3">
        <f t="shared" si="5"/>
        <v>13.600018541265907</v>
      </c>
      <c r="F39" s="2"/>
      <c r="G39" s="7">
        <v>45</v>
      </c>
      <c r="H39" s="6">
        <v>57.6</v>
      </c>
      <c r="I39" s="5">
        <f t="shared" si="6"/>
        <v>4.4499038171831183E-4</v>
      </c>
      <c r="J39" s="5">
        <f t="shared" si="7"/>
        <v>0.20024567177324032</v>
      </c>
      <c r="K39" s="3">
        <f t="shared" si="8"/>
        <v>16.019653741859223</v>
      </c>
      <c r="L39" s="2"/>
      <c r="M39" s="7">
        <v>45</v>
      </c>
      <c r="N39" s="6">
        <v>0</v>
      </c>
      <c r="O39" s="5">
        <f t="shared" si="9"/>
        <v>0</v>
      </c>
      <c r="P39" s="5">
        <f t="shared" si="10"/>
        <v>0</v>
      </c>
      <c r="Q39" s="3">
        <f t="shared" si="11"/>
        <v>0</v>
      </c>
      <c r="R39" s="1"/>
      <c r="S39" s="4">
        <f t="shared" si="1"/>
        <v>9.8732240943750433</v>
      </c>
      <c r="T39" s="3">
        <f t="shared" si="2"/>
        <v>7.0509608867301896</v>
      </c>
      <c r="V39">
        <f t="shared" si="12"/>
        <v>0.71414978727640255</v>
      </c>
    </row>
    <row r="40" spans="1:22">
      <c r="A40" s="7">
        <v>60</v>
      </c>
      <c r="B40" s="6">
        <v>67.2</v>
      </c>
      <c r="C40" s="5">
        <f t="shared" si="3"/>
        <v>5.1915544533803044E-4</v>
      </c>
      <c r="D40" s="5">
        <f t="shared" si="4"/>
        <v>0.2336199504021137</v>
      </c>
      <c r="E40" s="3">
        <f t="shared" si="5"/>
        <v>18.689596032169096</v>
      </c>
      <c r="F40" s="2"/>
      <c r="G40" s="7">
        <v>60</v>
      </c>
      <c r="H40" s="6">
        <v>73.599999999999994</v>
      </c>
      <c r="I40" s="5">
        <f t="shared" si="6"/>
        <v>5.6859882108450954E-4</v>
      </c>
      <c r="J40" s="5">
        <f t="shared" si="7"/>
        <v>0.2558694694880293</v>
      </c>
      <c r="K40" s="3">
        <f t="shared" si="8"/>
        <v>20.469557559042347</v>
      </c>
      <c r="L40" s="2"/>
      <c r="M40" s="7">
        <v>60</v>
      </c>
      <c r="N40" s="6">
        <v>17.7</v>
      </c>
      <c r="O40" s="5">
        <f t="shared" si="9"/>
        <v>1.3674183604885624E-4</v>
      </c>
      <c r="P40" s="5">
        <f t="shared" si="10"/>
        <v>6.1533826221985312E-2</v>
      </c>
      <c r="Q40" s="3">
        <f t="shared" si="11"/>
        <v>4.9227060977588248</v>
      </c>
      <c r="R40" s="1"/>
      <c r="S40" s="4">
        <f t="shared" si="1"/>
        <v>14.693953229656756</v>
      </c>
      <c r="T40" s="3">
        <f t="shared" si="2"/>
        <v>6.9474224785769696</v>
      </c>
      <c r="V40">
        <f t="shared" si="12"/>
        <v>0.47280826132990611</v>
      </c>
    </row>
    <row r="41" spans="1:22">
      <c r="A41" s="7">
        <v>75</v>
      </c>
      <c r="B41" s="6">
        <v>83.4</v>
      </c>
      <c r="C41" s="5">
        <f t="shared" si="3"/>
        <v>6.4430899019630571E-4</v>
      </c>
      <c r="D41" s="5">
        <f t="shared" si="4"/>
        <v>0.28993904558833755</v>
      </c>
      <c r="E41" s="3">
        <f t="shared" si="5"/>
        <v>23.195123647067003</v>
      </c>
      <c r="F41" s="2"/>
      <c r="G41" s="7">
        <v>75</v>
      </c>
      <c r="H41" s="6">
        <v>92.1</v>
      </c>
      <c r="I41" s="5">
        <f t="shared" si="6"/>
        <v>7.1152107910167563E-4</v>
      </c>
      <c r="J41" s="5">
        <f t="shared" si="7"/>
        <v>0.32018448559575402</v>
      </c>
      <c r="K41" s="3">
        <f t="shared" si="8"/>
        <v>25.614758847660323</v>
      </c>
      <c r="L41" s="2"/>
      <c r="M41" s="7">
        <v>75</v>
      </c>
      <c r="N41" s="10">
        <v>26.2</v>
      </c>
      <c r="O41" s="5">
        <f t="shared" si="9"/>
        <v>2.0240881946214878E-4</v>
      </c>
      <c r="P41" s="5">
        <f t="shared" si="10"/>
        <v>9.1083968757966954E-2</v>
      </c>
      <c r="Q41" s="3">
        <f t="shared" si="11"/>
        <v>7.2867175006373559</v>
      </c>
      <c r="R41" s="1"/>
      <c r="S41" s="4">
        <f t="shared" si="1"/>
        <v>18.69886666512156</v>
      </c>
      <c r="T41" s="3">
        <f t="shared" si="2"/>
        <v>8.129842968566102</v>
      </c>
      <c r="V41">
        <f t="shared" si="12"/>
        <v>0.43477731106187606</v>
      </c>
    </row>
    <row r="42" spans="1:22">
      <c r="A42" s="7">
        <v>90</v>
      </c>
      <c r="B42" s="10">
        <v>97.2</v>
      </c>
      <c r="C42" s="5">
        <f t="shared" si="3"/>
        <v>7.5092126914965123E-4</v>
      </c>
      <c r="D42" s="5">
        <f t="shared" si="4"/>
        <v>0.33791457111734308</v>
      </c>
      <c r="E42" s="3">
        <f t="shared" si="5"/>
        <v>27.033165689387445</v>
      </c>
      <c r="F42" s="2"/>
      <c r="G42" s="9">
        <v>90</v>
      </c>
      <c r="H42" s="8">
        <v>105.8</v>
      </c>
      <c r="I42" s="5">
        <f t="shared" si="6"/>
        <v>8.1736080530898242E-4</v>
      </c>
      <c r="J42" s="5">
        <f t="shared" si="7"/>
        <v>0.36781236238904208</v>
      </c>
      <c r="K42" s="3">
        <f t="shared" si="8"/>
        <v>29.424988991123367</v>
      </c>
      <c r="L42" s="2"/>
      <c r="M42" s="7">
        <v>90</v>
      </c>
      <c r="N42" s="6">
        <v>35.9</v>
      </c>
      <c r="O42" s="5">
        <f t="shared" si="9"/>
        <v>2.7734643582790614E-4</v>
      </c>
      <c r="P42" s="5">
        <f t="shared" si="10"/>
        <v>0.12480589612255776</v>
      </c>
      <c r="Q42" s="3">
        <f t="shared" si="11"/>
        <v>9.9844716898046215</v>
      </c>
      <c r="R42" s="1"/>
      <c r="S42" s="4">
        <f t="shared" si="1"/>
        <v>22.14754212343848</v>
      </c>
      <c r="T42" s="3">
        <f t="shared" si="2"/>
        <v>8.6558425916385193</v>
      </c>
      <c r="V42">
        <f t="shared" si="12"/>
        <v>0.39082632932338546</v>
      </c>
    </row>
    <row r="43" spans="1:22">
      <c r="A43" s="7">
        <v>120</v>
      </c>
      <c r="B43" s="10">
        <v>119.1</v>
      </c>
      <c r="C43" s="5">
        <f t="shared" si="3"/>
        <v>9.2011032053213428E-4</v>
      </c>
      <c r="D43" s="5">
        <f t="shared" si="4"/>
        <v>0.41404964423946045</v>
      </c>
      <c r="E43" s="3">
        <f t="shared" si="5"/>
        <v>33.123971539156841</v>
      </c>
      <c r="F43" s="2"/>
      <c r="G43" s="9">
        <v>120</v>
      </c>
      <c r="H43" s="8">
        <v>128.69999999999999</v>
      </c>
      <c r="I43" s="5">
        <f t="shared" si="6"/>
        <v>9.9427538415185288E-4</v>
      </c>
      <c r="J43" s="5">
        <f t="shared" si="7"/>
        <v>0.44742392286833382</v>
      </c>
      <c r="K43" s="3">
        <f t="shared" si="8"/>
        <v>35.793913829466703</v>
      </c>
      <c r="L43" s="2"/>
      <c r="M43" s="7">
        <v>120</v>
      </c>
      <c r="N43" s="6">
        <v>49.3</v>
      </c>
      <c r="O43" s="5">
        <f t="shared" si="9"/>
        <v>3.8086850379709673E-4</v>
      </c>
      <c r="P43" s="5">
        <f t="shared" si="10"/>
        <v>0.17139082670869352</v>
      </c>
      <c r="Q43" s="3">
        <f t="shared" si="11"/>
        <v>13.711266136695482</v>
      </c>
      <c r="R43" s="1"/>
      <c r="S43" s="4">
        <f t="shared" si="1"/>
        <v>27.54305050177301</v>
      </c>
      <c r="T43" s="3">
        <f t="shared" si="2"/>
        <v>9.8410989223730621</v>
      </c>
      <c r="V43">
        <f t="shared" si="12"/>
        <v>0.35729880108013334</v>
      </c>
    </row>
    <row r="44" spans="1:22">
      <c r="A44" s="7">
        <v>180</v>
      </c>
      <c r="B44" s="10">
        <v>154.6</v>
      </c>
      <c r="C44" s="5">
        <f t="shared" si="3"/>
        <v>1.1943665453758856E-3</v>
      </c>
      <c r="D44" s="5">
        <f t="shared" si="4"/>
        <v>0.53746494541914847</v>
      </c>
      <c r="E44" s="3">
        <f t="shared" si="5"/>
        <v>42.997195633531874</v>
      </c>
      <c r="F44" s="2"/>
      <c r="G44" s="9">
        <v>180</v>
      </c>
      <c r="H44" s="8">
        <v>158.5</v>
      </c>
      <c r="I44" s="5">
        <f t="shared" si="6"/>
        <v>1.2244961024713962E-3</v>
      </c>
      <c r="J44" s="5">
        <f t="shared" si="7"/>
        <v>0.55102324611212827</v>
      </c>
      <c r="K44" s="3">
        <f t="shared" si="8"/>
        <v>44.081859688970262</v>
      </c>
      <c r="L44" s="2"/>
      <c r="M44" s="7">
        <v>180</v>
      </c>
      <c r="N44" s="6">
        <v>69.8</v>
      </c>
      <c r="O44" s="5">
        <f t="shared" si="9"/>
        <v>5.3924181673503755E-4</v>
      </c>
      <c r="P44" s="5">
        <f t="shared" si="10"/>
        <v>0.2426588175307669</v>
      </c>
      <c r="Q44" s="3">
        <f t="shared" si="11"/>
        <v>19.412705402461352</v>
      </c>
      <c r="R44" s="1"/>
      <c r="S44" s="4">
        <f t="shared" si="1"/>
        <v>35.49725357498783</v>
      </c>
      <c r="T44" s="3">
        <f t="shared" si="2"/>
        <v>11.382109982015159</v>
      </c>
      <c r="V44">
        <f t="shared" si="12"/>
        <v>0.32064762300470623</v>
      </c>
    </row>
    <row r="45" spans="1:22">
      <c r="A45" s="6">
        <v>360</v>
      </c>
      <c r="B45" s="10">
        <v>210</v>
      </c>
      <c r="C45" s="5">
        <f t="shared" si="3"/>
        <v>1.6223607666813451E-3</v>
      </c>
      <c r="D45" s="5">
        <f t="shared" si="4"/>
        <v>0.73006234500660527</v>
      </c>
      <c r="E45" s="3">
        <f t="shared" si="5"/>
        <v>58.404987600528422</v>
      </c>
      <c r="F45" s="2"/>
      <c r="G45" s="22">
        <v>360</v>
      </c>
      <c r="H45" s="8">
        <v>208.9</v>
      </c>
      <c r="I45" s="5">
        <f t="shared" si="6"/>
        <v>1.6138626864749192E-3</v>
      </c>
      <c r="J45" s="5">
        <f t="shared" si="7"/>
        <v>0.7262382089137136</v>
      </c>
      <c r="K45" s="3">
        <f t="shared" si="8"/>
        <v>58.099056713097085</v>
      </c>
      <c r="L45" s="2"/>
      <c r="M45" s="6">
        <v>360</v>
      </c>
      <c r="N45" s="6">
        <v>103.5</v>
      </c>
      <c r="O45" s="5">
        <f t="shared" si="9"/>
        <v>7.995920921500915E-4</v>
      </c>
      <c r="P45" s="5">
        <f t="shared" si="10"/>
        <v>0.35981644146754116</v>
      </c>
      <c r="Q45" s="3">
        <f t="shared" si="11"/>
        <v>28.785315317403292</v>
      </c>
      <c r="R45" s="1"/>
      <c r="S45" s="4">
        <f t="shared" si="1"/>
        <v>48.429786543676272</v>
      </c>
      <c r="T45" s="3">
        <f t="shared" si="2"/>
        <v>13.891300293034014</v>
      </c>
      <c r="V45">
        <f t="shared" si="12"/>
        <v>0.28683381209013142</v>
      </c>
    </row>
    <row r="46" spans="1:2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2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2">
      <c r="A48" s="39"/>
      <c r="B48" s="40"/>
      <c r="C48" s="18"/>
      <c r="D48" s="18"/>
      <c r="E48" s="17"/>
      <c r="F48" s="2"/>
      <c r="G48" s="39"/>
      <c r="H48" s="40"/>
      <c r="I48" s="18"/>
      <c r="J48" s="18"/>
      <c r="K48" s="17"/>
      <c r="L48" s="2"/>
      <c r="M48" s="39"/>
      <c r="N48" s="40"/>
      <c r="O48" s="18"/>
      <c r="P48" s="18"/>
      <c r="Q48" s="17"/>
      <c r="R48" s="6"/>
      <c r="S48" s="14"/>
      <c r="T48" s="14"/>
    </row>
    <row r="49" spans="1:20" ht="17" thickBot="1">
      <c r="A49" s="16"/>
      <c r="B49" s="15"/>
      <c r="C49" s="6"/>
      <c r="D49" s="6"/>
      <c r="E49" s="11"/>
      <c r="F49" s="2"/>
      <c r="G49" s="16"/>
      <c r="H49" s="15"/>
      <c r="I49" s="6"/>
      <c r="J49" s="6"/>
      <c r="K49" s="11"/>
      <c r="L49" s="2"/>
      <c r="M49" s="16"/>
      <c r="N49" s="15"/>
      <c r="O49" s="6"/>
      <c r="P49" s="6"/>
      <c r="Q49" s="11"/>
      <c r="R49" s="6"/>
      <c r="S49" s="14"/>
      <c r="T49" s="14"/>
    </row>
    <row r="50" spans="1:20">
      <c r="A50" s="7">
        <v>60</v>
      </c>
      <c r="B50" s="6">
        <v>67.2</v>
      </c>
      <c r="C50" s="6">
        <f>B50/129441*1000</f>
        <v>0.51915544533803049</v>
      </c>
      <c r="D50" s="6"/>
      <c r="E50" s="11"/>
      <c r="F50" s="2"/>
      <c r="G50" s="7"/>
      <c r="H50" s="6"/>
      <c r="I50" s="6"/>
      <c r="J50" s="6"/>
      <c r="K50" s="11"/>
      <c r="L50" s="2"/>
      <c r="M50" s="7"/>
      <c r="N50" s="6"/>
      <c r="O50" s="6"/>
      <c r="P50" s="6"/>
      <c r="Q50" s="11"/>
      <c r="R50" s="6"/>
      <c r="S50" s="13" t="s">
        <v>1</v>
      </c>
      <c r="T50" s="12" t="s">
        <v>0</v>
      </c>
    </row>
    <row r="51" spans="1:20">
      <c r="A51" s="7"/>
      <c r="B51" s="6">
        <v>73.599999999999994</v>
      </c>
      <c r="C51" s="6">
        <f t="shared" ref="C51:C52" si="13">B51/129441*1000</f>
        <v>0.56859882108450954</v>
      </c>
      <c r="D51" s="6"/>
      <c r="E51" s="11"/>
      <c r="F51" s="2"/>
      <c r="G51" s="7"/>
      <c r="H51" s="6"/>
      <c r="I51" s="6"/>
      <c r="J51" s="6"/>
      <c r="K51" s="11"/>
      <c r="L51" s="2"/>
      <c r="M51" s="7"/>
      <c r="N51" s="6"/>
      <c r="O51" s="6"/>
      <c r="P51" s="6"/>
      <c r="Q51" s="11"/>
      <c r="R51" s="6"/>
      <c r="S51" s="4" t="e">
        <f>AVERAGE(E51,K51,Q51)</f>
        <v>#DIV/0!</v>
      </c>
      <c r="T51" s="3" t="e">
        <f>STDEVP(E51,K51,Q51)</f>
        <v>#DIV/0!</v>
      </c>
    </row>
    <row r="52" spans="1:20">
      <c r="A52" s="7"/>
      <c r="B52" s="6">
        <v>17.7</v>
      </c>
      <c r="C52" s="6">
        <f t="shared" si="13"/>
        <v>0.13674183604885623</v>
      </c>
      <c r="D52" s="5"/>
      <c r="E52" s="3"/>
      <c r="F52" s="2"/>
      <c r="G52" s="7"/>
      <c r="H52" s="6"/>
      <c r="I52" s="5"/>
      <c r="J52" s="5"/>
      <c r="K52" s="3"/>
      <c r="L52" s="2"/>
      <c r="M52" s="7"/>
      <c r="N52" s="6"/>
      <c r="O52" s="5"/>
      <c r="P52" s="5"/>
      <c r="Q52" s="3"/>
      <c r="R52" s="1"/>
      <c r="S52" s="4" t="e">
        <f>AVERAGE(E52,K52,Q52)</f>
        <v>#DIV/0!</v>
      </c>
      <c r="T52" s="3" t="e">
        <f>STDEVP(E52,K52,Q52)</f>
        <v>#DIV/0!</v>
      </c>
    </row>
    <row r="53" spans="1:20">
      <c r="A53" s="7"/>
      <c r="B53" s="6"/>
      <c r="C53" s="5">
        <f>AVERAGE(C50:C52)</f>
        <v>0.40816536749046534</v>
      </c>
      <c r="D53" s="5"/>
      <c r="E53" s="3"/>
      <c r="F53" s="2"/>
      <c r="G53" s="7"/>
      <c r="H53" s="6"/>
      <c r="I53" s="5"/>
      <c r="J53" s="5"/>
      <c r="K53" s="3"/>
      <c r="L53" s="2"/>
      <c r="M53" s="7"/>
      <c r="N53" s="6"/>
      <c r="O53" s="5"/>
      <c r="P53" s="5"/>
      <c r="Q53" s="3"/>
      <c r="R53" s="1"/>
      <c r="S53" s="4" t="e">
        <f t="shared" ref="S53:S62" si="14">AVERAGE(E53,K53,Q53)</f>
        <v>#DIV/0!</v>
      </c>
      <c r="T53" s="3" t="e">
        <f t="shared" ref="T53:T62" si="15">STDEVP(E53,K53,Q53)</f>
        <v>#DIV/0!</v>
      </c>
    </row>
    <row r="54" spans="1:20">
      <c r="A54" s="7"/>
      <c r="B54" s="6"/>
      <c r="C54" s="5">
        <f>STDEV(C50:C53)</f>
        <v>0.19298395773824936</v>
      </c>
      <c r="D54" s="5"/>
      <c r="E54" s="3"/>
      <c r="F54" s="2"/>
      <c r="G54" s="7"/>
      <c r="H54" s="6"/>
      <c r="I54" s="5"/>
      <c r="J54" s="5"/>
      <c r="K54" s="3"/>
      <c r="L54" s="2"/>
      <c r="M54" s="7"/>
      <c r="N54" s="6"/>
      <c r="O54" s="5"/>
      <c r="P54" s="5"/>
      <c r="Q54" s="3"/>
      <c r="R54" s="1"/>
      <c r="S54" s="4" t="e">
        <f t="shared" si="14"/>
        <v>#DIV/0!</v>
      </c>
      <c r="T54" s="3" t="e">
        <f t="shared" si="15"/>
        <v>#DIV/0!</v>
      </c>
    </row>
    <row r="55" spans="1:20">
      <c r="A55" s="7"/>
      <c r="B55" s="6"/>
      <c r="C55" s="5"/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 t="e">
        <f t="shared" si="14"/>
        <v>#DIV/0!</v>
      </c>
      <c r="T55" s="3" t="e">
        <f t="shared" si="15"/>
        <v>#DIV/0!</v>
      </c>
    </row>
    <row r="56" spans="1:20">
      <c r="A56" s="7">
        <v>180</v>
      </c>
      <c r="B56" s="10">
        <v>154.6</v>
      </c>
      <c r="C56" s="6">
        <f>B56/129441*1000</f>
        <v>1.1943665453758856</v>
      </c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 t="e">
        <f t="shared" si="14"/>
        <v>#DIV/0!</v>
      </c>
      <c r="T56" s="3" t="e">
        <f t="shared" si="15"/>
        <v>#DIV/0!</v>
      </c>
    </row>
    <row r="57" spans="1:20">
      <c r="A57" s="7"/>
      <c r="B57" s="8">
        <v>158.5</v>
      </c>
      <c r="C57" s="6">
        <f t="shared" ref="C57:C58" si="16">B57/129441*1000</f>
        <v>1.2244961024713963</v>
      </c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 t="e">
        <f t="shared" si="14"/>
        <v>#DIV/0!</v>
      </c>
      <c r="T57" s="3" t="e">
        <f t="shared" si="15"/>
        <v>#DIV/0!</v>
      </c>
    </row>
    <row r="58" spans="1:20">
      <c r="A58" s="7"/>
      <c r="B58" s="6">
        <v>69.8</v>
      </c>
      <c r="C58" s="6">
        <f t="shared" si="16"/>
        <v>0.53924181673503757</v>
      </c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 t="e">
        <f t="shared" si="14"/>
        <v>#DIV/0!</v>
      </c>
      <c r="T58" s="3" t="e">
        <f t="shared" si="15"/>
        <v>#DIV/0!</v>
      </c>
    </row>
    <row r="59" spans="1:20">
      <c r="A59" s="7"/>
      <c r="B59" s="10"/>
      <c r="C59" s="5">
        <f>AVERAGE(C56:C58)</f>
        <v>0.98603482152743982</v>
      </c>
      <c r="D59" s="5"/>
      <c r="E59" s="3"/>
      <c r="F59" s="2"/>
      <c r="G59" s="9"/>
      <c r="H59" s="8"/>
      <c r="I59" s="5"/>
      <c r="J59" s="5"/>
      <c r="K59" s="3"/>
      <c r="L59" s="2"/>
      <c r="M59" s="7"/>
      <c r="N59" s="6"/>
      <c r="O59" s="5"/>
      <c r="P59" s="5"/>
      <c r="Q59" s="3"/>
      <c r="R59" s="1"/>
      <c r="S59" s="4" t="e">
        <f t="shared" si="14"/>
        <v>#DIV/0!</v>
      </c>
      <c r="T59" s="3" t="e">
        <f t="shared" si="15"/>
        <v>#DIV/0!</v>
      </c>
    </row>
    <row r="60" spans="1:20">
      <c r="A60" s="7"/>
      <c r="B60" s="10"/>
      <c r="C60" s="5">
        <f>STDEV(C56:C59)</f>
        <v>0.3161697217226434</v>
      </c>
      <c r="D60" s="5"/>
      <c r="E60" s="3"/>
      <c r="F60" s="2"/>
      <c r="G60" s="9"/>
      <c r="H60" s="8"/>
      <c r="I60" s="5"/>
      <c r="J60" s="5"/>
      <c r="K60" s="3"/>
      <c r="L60" s="2"/>
      <c r="M60" s="7"/>
      <c r="N60" s="6"/>
      <c r="O60" s="5"/>
      <c r="P60" s="5"/>
      <c r="Q60" s="3"/>
      <c r="R60" s="1"/>
      <c r="S60" s="4" t="e">
        <f t="shared" si="14"/>
        <v>#DIV/0!</v>
      </c>
      <c r="T60" s="3" t="e">
        <f t="shared" si="15"/>
        <v>#DIV/0!</v>
      </c>
    </row>
    <row r="61" spans="1:20">
      <c r="A61" s="9"/>
      <c r="B61" s="22"/>
      <c r="C61" s="5"/>
      <c r="D61" s="5"/>
      <c r="E61" s="3"/>
      <c r="G61" s="9"/>
      <c r="H61" s="22"/>
      <c r="I61" s="23"/>
      <c r="J61" s="23"/>
      <c r="K61" s="24"/>
      <c r="M61" s="9"/>
      <c r="N61" s="22"/>
      <c r="O61" s="5"/>
      <c r="P61" s="5"/>
      <c r="Q61" s="3"/>
      <c r="S61" s="25" t="e">
        <f t="shared" si="14"/>
        <v>#DIV/0!</v>
      </c>
      <c r="T61" s="24" t="e">
        <f t="shared" si="15"/>
        <v>#DIV/0!</v>
      </c>
    </row>
    <row r="62" spans="1:20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25" t="e">
        <f t="shared" si="14"/>
        <v>#DIV/0!</v>
      </c>
      <c r="T62" s="24" t="e">
        <f t="shared" si="15"/>
        <v>#DIV/0!</v>
      </c>
    </row>
    <row r="65" spans="1:10">
      <c r="B65" t="s">
        <v>14</v>
      </c>
      <c r="C65" t="s">
        <v>10</v>
      </c>
    </row>
    <row r="66" spans="1:10">
      <c r="A66" t="s">
        <v>19</v>
      </c>
      <c r="B66">
        <v>42.57</v>
      </c>
      <c r="C66">
        <v>81</v>
      </c>
    </row>
    <row r="67" spans="1:10">
      <c r="B67">
        <v>62.43</v>
      </c>
      <c r="C67">
        <v>101.4</v>
      </c>
    </row>
    <row r="68" spans="1:10">
      <c r="B68">
        <v>66.98</v>
      </c>
      <c r="C68">
        <v>85.57</v>
      </c>
    </row>
    <row r="70" spans="1:10">
      <c r="A70" t="s">
        <v>20</v>
      </c>
      <c r="B70">
        <f>_xlfn.T.TEST(B66:B68,C66:C68,2,2)</f>
        <v>3.0108439981409336E-2</v>
      </c>
    </row>
    <row r="73" spans="1:10">
      <c r="A73" t="s">
        <v>72</v>
      </c>
      <c r="H73" t="s">
        <v>18</v>
      </c>
      <c r="J73">
        <v>58.8</v>
      </c>
    </row>
    <row r="74" spans="1:10">
      <c r="A74" s="7" t="s">
        <v>6</v>
      </c>
      <c r="B74" s="6" t="s">
        <v>5</v>
      </c>
      <c r="C74" s="6" t="s">
        <v>4</v>
      </c>
      <c r="D74" s="6" t="s">
        <v>3</v>
      </c>
      <c r="E74" s="11" t="s">
        <v>2</v>
      </c>
      <c r="F74" s="22" t="s">
        <v>79</v>
      </c>
      <c r="H74" t="s">
        <v>17</v>
      </c>
      <c r="I74" t="s">
        <v>16</v>
      </c>
      <c r="J74">
        <v>59.3</v>
      </c>
    </row>
    <row r="75" spans="1:10">
      <c r="A75" t="s">
        <v>77</v>
      </c>
      <c r="B75">
        <v>574</v>
      </c>
      <c r="C75">
        <f>B75/120847*1000</f>
        <v>4.7498076079670986</v>
      </c>
      <c r="F75">
        <v>1816</v>
      </c>
      <c r="H75" s="19">
        <v>5.0000000000000001E-4</v>
      </c>
      <c r="I75" s="20">
        <f>AVERAGE(J73:J75)</f>
        <v>60.433333333333337</v>
      </c>
      <c r="J75">
        <v>63.2</v>
      </c>
    </row>
    <row r="76" spans="1:10">
      <c r="B76">
        <v>456.2</v>
      </c>
      <c r="C76">
        <f>B76/120847*1000</f>
        <v>3.7750213079348263</v>
      </c>
      <c r="F76">
        <v>1738</v>
      </c>
      <c r="H76" s="19">
        <v>1E-3</v>
      </c>
      <c r="I76">
        <v>124</v>
      </c>
    </row>
    <row r="77" spans="1:10">
      <c r="C77">
        <f>AVERAGE(C75:C76)</f>
        <v>4.2624144579509622</v>
      </c>
      <c r="F77">
        <v>2266</v>
      </c>
      <c r="H77" s="19">
        <v>0.01</v>
      </c>
      <c r="I77" s="21">
        <v>1209.8</v>
      </c>
    </row>
    <row r="78" spans="1:10">
      <c r="C78">
        <f>STDEV(C75:C77)</f>
        <v>0.48739315001613615</v>
      </c>
      <c r="F78">
        <v>2121</v>
      </c>
      <c r="H78" s="19">
        <v>0.05</v>
      </c>
      <c r="I78" s="21">
        <v>6062.1</v>
      </c>
    </row>
    <row r="79" spans="1:10">
      <c r="B79" t="s">
        <v>80</v>
      </c>
      <c r="C79">
        <f>TTEST(C75:C77,C50:C52,1,2)</f>
        <v>1.2452662633772769E-4</v>
      </c>
      <c r="F79">
        <v>1961</v>
      </c>
      <c r="H79" s="19">
        <v>0.1</v>
      </c>
      <c r="I79" s="21">
        <v>12081.4</v>
      </c>
    </row>
    <row r="80" spans="1:10">
      <c r="F80">
        <v>1930</v>
      </c>
    </row>
    <row r="81" spans="1:9">
      <c r="F81">
        <f>AVERAGE(F75:F80)</f>
        <v>1972</v>
      </c>
      <c r="H81" t="s">
        <v>0</v>
      </c>
      <c r="I81" t="s">
        <v>15</v>
      </c>
    </row>
    <row r="82" spans="1:9">
      <c r="F82">
        <f>STDEV(F75:F80)</f>
        <v>194.73777240176082</v>
      </c>
      <c r="H82">
        <f>STDEV(J73:J75)</f>
        <v>2.4090108620206236</v>
      </c>
      <c r="I82">
        <f>3*H82/26064</f>
        <v>2.7728025575743826E-4</v>
      </c>
    </row>
    <row r="85" spans="1:9">
      <c r="A85" t="s">
        <v>78</v>
      </c>
      <c r="B85">
        <v>689.6</v>
      </c>
      <c r="C85">
        <f>B85/120847*1000</f>
        <v>5.7063890704775462</v>
      </c>
      <c r="F85">
        <v>1012</v>
      </c>
    </row>
    <row r="86" spans="1:9">
      <c r="B86">
        <v>720.5</v>
      </c>
      <c r="C86">
        <f>B86/120847*1000</f>
        <v>5.9620842883977261</v>
      </c>
      <c r="F86">
        <v>930</v>
      </c>
    </row>
    <row r="87" spans="1:9">
      <c r="C87">
        <f>AVERAGE(C85:C86)</f>
        <v>5.8342366794376357</v>
      </c>
      <c r="F87">
        <v>816</v>
      </c>
    </row>
    <row r="88" spans="1:9">
      <c r="C88">
        <f>STDEV(C85:C87)</f>
        <v>0.12784760896008995</v>
      </c>
      <c r="F88">
        <v>1516</v>
      </c>
    </row>
    <row r="89" spans="1:9">
      <c r="B89" t="s">
        <v>80</v>
      </c>
      <c r="C89">
        <f>TTEST(C56:C58,C85:C87,1,2)</f>
        <v>1.6424453172191725E-5</v>
      </c>
      <c r="F89">
        <v>1602</v>
      </c>
    </row>
    <row r="90" spans="1:9">
      <c r="F90">
        <v>1582</v>
      </c>
    </row>
    <row r="91" spans="1:9">
      <c r="F91">
        <f>AVERAGE(F85:F90)</f>
        <v>1243</v>
      </c>
    </row>
    <row r="92" spans="1:9">
      <c r="F92">
        <f>STDEV(F85:F90)</f>
        <v>361.10663245085931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2D3D6-2BB6-2041-89DC-8A769346696F}">
  <dimension ref="A1:T70"/>
  <sheetViews>
    <sheetView topLeftCell="A3" workbookViewId="0">
      <selection activeCell="B31" sqref="B31"/>
    </sheetView>
  </sheetViews>
  <sheetFormatPr baseColWidth="10" defaultRowHeight="16"/>
  <cols>
    <col min="2" max="2" width="21" customWidth="1"/>
  </cols>
  <sheetData>
    <row r="1" spans="1:3">
      <c r="A1" t="s">
        <v>18</v>
      </c>
      <c r="C1">
        <v>66.724999999999994</v>
      </c>
    </row>
    <row r="2" spans="1:3">
      <c r="A2" t="s">
        <v>17</v>
      </c>
      <c r="B2" t="s">
        <v>16</v>
      </c>
      <c r="C2">
        <v>65.349000000000004</v>
      </c>
    </row>
    <row r="3" spans="1:3">
      <c r="A3" s="19">
        <v>5.0000000000000001E-4</v>
      </c>
      <c r="B3" s="20">
        <f>AVERAGE(C1:C3)</f>
        <v>65.713333333333338</v>
      </c>
      <c r="C3">
        <v>65.066000000000003</v>
      </c>
    </row>
    <row r="4" spans="1:3">
      <c r="A4" s="19">
        <v>1E-3</v>
      </c>
      <c r="B4">
        <v>128.90100000000001</v>
      </c>
    </row>
    <row r="5" spans="1:3">
      <c r="A5" s="19">
        <v>0.01</v>
      </c>
      <c r="B5" s="21">
        <v>1299.7260000000001</v>
      </c>
    </row>
    <row r="6" spans="1:3">
      <c r="A6" s="19">
        <v>0.05</v>
      </c>
      <c r="B6" s="21">
        <v>6527.3069999999998</v>
      </c>
    </row>
    <row r="7" spans="1:3">
      <c r="A7" s="19">
        <v>0.1</v>
      </c>
      <c r="B7" s="21">
        <v>12915.986999999999</v>
      </c>
    </row>
    <row r="9" spans="1:3">
      <c r="A9" t="s">
        <v>0</v>
      </c>
      <c r="B9" t="s">
        <v>15</v>
      </c>
    </row>
    <row r="10" spans="1:3">
      <c r="A10">
        <f>STDEV(C1:C3)</f>
        <v>0.88748201859717957</v>
      </c>
      <c r="B10">
        <f>3*A10/26064</f>
        <v>1.0215032442416892E-4</v>
      </c>
    </row>
    <row r="16" spans="1:3">
      <c r="A16" t="s">
        <v>29</v>
      </c>
      <c r="B16" t="s">
        <v>30</v>
      </c>
    </row>
    <row r="17" spans="1:20">
      <c r="A17" t="s">
        <v>25</v>
      </c>
      <c r="B17" t="s">
        <v>44</v>
      </c>
    </row>
    <row r="18" spans="1:20">
      <c r="A18" t="s">
        <v>26</v>
      </c>
      <c r="B18" t="s">
        <v>43</v>
      </c>
    </row>
    <row r="19" spans="1:20">
      <c r="A19" t="s">
        <v>27</v>
      </c>
      <c r="B19" t="s">
        <v>45</v>
      </c>
    </row>
    <row r="20" spans="1:20">
      <c r="A20" t="s">
        <v>28</v>
      </c>
      <c r="B20" t="s">
        <v>33</v>
      </c>
    </row>
    <row r="21" spans="1:20">
      <c r="A21" t="s">
        <v>34</v>
      </c>
      <c r="B21" t="s">
        <v>46</v>
      </c>
    </row>
    <row r="24" spans="1:20">
      <c r="A24" t="s">
        <v>22</v>
      </c>
      <c r="B24" t="s">
        <v>23</v>
      </c>
    </row>
    <row r="25" spans="1:20">
      <c r="A25" t="s">
        <v>16</v>
      </c>
      <c r="B25" t="s">
        <v>21</v>
      </c>
    </row>
    <row r="26" spans="1:20">
      <c r="A26">
        <v>109.7</v>
      </c>
      <c r="B26">
        <f>A26/25144</f>
        <v>4.3628698695513841E-3</v>
      </c>
    </row>
    <row r="27" spans="1:20">
      <c r="A27">
        <v>124.1</v>
      </c>
      <c r="B27">
        <f t="shared" ref="B27:B28" si="0">A27/25144</f>
        <v>4.9355711104040727E-3</v>
      </c>
    </row>
    <row r="28" spans="1:20">
      <c r="A28">
        <v>116.5</v>
      </c>
      <c r="B28">
        <f t="shared" si="0"/>
        <v>4.6333121221762644E-3</v>
      </c>
    </row>
    <row r="29" spans="1:20">
      <c r="B29">
        <f>AVERAGE(B26:B28)</f>
        <v>4.6439177007105738E-3</v>
      </c>
    </row>
    <row r="30" spans="1:20">
      <c r="B30">
        <f>STDEV(B26:B28)</f>
        <v>2.8649788226195997E-4</v>
      </c>
    </row>
    <row r="31" spans="1:20" ht="17" thickBot="1"/>
    <row r="32" spans="1:20">
      <c r="A32" s="39" t="s">
        <v>47</v>
      </c>
      <c r="B32" s="40"/>
      <c r="C32" s="18">
        <v>2.5</v>
      </c>
      <c r="D32" s="18"/>
      <c r="E32" s="17"/>
      <c r="F32" s="2"/>
      <c r="G32" s="39" t="s">
        <v>47</v>
      </c>
      <c r="H32" s="40"/>
      <c r="I32" s="18">
        <v>2.5</v>
      </c>
      <c r="J32" s="18"/>
      <c r="K32" s="17"/>
      <c r="L32" s="2"/>
      <c r="M32" s="39" t="s">
        <v>47</v>
      </c>
      <c r="N32" s="40"/>
      <c r="O32" s="18">
        <v>2.5</v>
      </c>
      <c r="P32" s="18"/>
      <c r="Q32" s="17"/>
      <c r="R32" s="6"/>
      <c r="S32" s="2"/>
      <c r="T32" s="2"/>
    </row>
    <row r="33" spans="1:20" ht="17" thickBot="1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>
      <c r="A35" s="7">
        <v>0</v>
      </c>
      <c r="B35" s="10">
        <v>0</v>
      </c>
      <c r="C35" s="5">
        <f>B35/129441</f>
        <v>0</v>
      </c>
      <c r="D35" s="5">
        <f>C35*900</f>
        <v>0</v>
      </c>
      <c r="E35" s="3">
        <f>D35/2.5*100</f>
        <v>0</v>
      </c>
      <c r="F35" s="2"/>
      <c r="G35" s="7">
        <v>0</v>
      </c>
      <c r="H35" s="10">
        <v>0</v>
      </c>
      <c r="I35" s="5">
        <f>H35/129441</f>
        <v>0</v>
      </c>
      <c r="J35" s="5">
        <f>I35*900</f>
        <v>0</v>
      </c>
      <c r="K35" s="3">
        <f>J35/2.5*100</f>
        <v>0</v>
      </c>
      <c r="L35" s="2"/>
      <c r="M35" s="7">
        <v>0</v>
      </c>
      <c r="N35" s="10">
        <v>0</v>
      </c>
      <c r="O35" s="5">
        <f>N35/129441</f>
        <v>0</v>
      </c>
      <c r="P35" s="5">
        <f>O35*900</f>
        <v>0</v>
      </c>
      <c r="Q35" s="3">
        <f>P35/2.5*100</f>
        <v>0</v>
      </c>
      <c r="R35" s="1"/>
      <c r="S35" s="4">
        <f t="shared" ref="S35:S45" si="1">AVERAGE(E35,K35,Q35)</f>
        <v>0</v>
      </c>
      <c r="T35" s="3">
        <f t="shared" ref="T35:T45" si="2">STDEVP(E35,K35,Q35)</f>
        <v>0</v>
      </c>
    </row>
    <row r="36" spans="1:20">
      <c r="A36" s="7">
        <v>5</v>
      </c>
      <c r="B36" s="10">
        <v>0</v>
      </c>
      <c r="C36" s="5">
        <f t="shared" ref="C36:C45" si="3">B36/129441</f>
        <v>0</v>
      </c>
      <c r="D36" s="5">
        <f t="shared" ref="D36:D45" si="4">C36*900</f>
        <v>0</v>
      </c>
      <c r="E36" s="3">
        <f t="shared" ref="E36:E45" si="5">D36/2.5*100</f>
        <v>0</v>
      </c>
      <c r="F36" s="2"/>
      <c r="G36" s="7">
        <v>5</v>
      </c>
      <c r="H36" s="10">
        <v>0</v>
      </c>
      <c r="I36" s="5">
        <f t="shared" ref="I36:I45" si="6">H36/129441</f>
        <v>0</v>
      </c>
      <c r="J36" s="5">
        <f t="shared" ref="J36:J45" si="7">I36*900</f>
        <v>0</v>
      </c>
      <c r="K36" s="3">
        <f t="shared" ref="K36:K45" si="8">J36/2.5*100</f>
        <v>0</v>
      </c>
      <c r="L36" s="2"/>
      <c r="M36" s="7">
        <v>5</v>
      </c>
      <c r="N36" s="10">
        <v>0</v>
      </c>
      <c r="O36" s="5">
        <f t="shared" ref="O36:O45" si="9">N36/129441</f>
        <v>0</v>
      </c>
      <c r="P36" s="5">
        <f t="shared" ref="P36:P45" si="10">O36*900</f>
        <v>0</v>
      </c>
      <c r="Q36" s="3">
        <f t="shared" ref="Q36:Q45" si="11">P36/2.5*100</f>
        <v>0</v>
      </c>
      <c r="R36" s="1"/>
      <c r="S36" s="4">
        <f t="shared" si="1"/>
        <v>0</v>
      </c>
      <c r="T36" s="3">
        <f t="shared" si="2"/>
        <v>0</v>
      </c>
    </row>
    <row r="37" spans="1:20">
      <c r="A37" s="7">
        <v>15</v>
      </c>
      <c r="B37" s="10">
        <v>0</v>
      </c>
      <c r="C37" s="5">
        <f t="shared" si="3"/>
        <v>0</v>
      </c>
      <c r="D37" s="5">
        <f t="shared" si="4"/>
        <v>0</v>
      </c>
      <c r="E37" s="3">
        <f t="shared" si="5"/>
        <v>0</v>
      </c>
      <c r="F37" s="2"/>
      <c r="G37" s="7">
        <v>15</v>
      </c>
      <c r="H37" s="6">
        <v>0</v>
      </c>
      <c r="I37" s="5">
        <f t="shared" si="6"/>
        <v>0</v>
      </c>
      <c r="J37" s="5">
        <f t="shared" si="7"/>
        <v>0</v>
      </c>
      <c r="K37" s="3">
        <f t="shared" si="8"/>
        <v>0</v>
      </c>
      <c r="L37" s="2"/>
      <c r="M37" s="7">
        <v>15</v>
      </c>
      <c r="N37" s="6">
        <v>0</v>
      </c>
      <c r="O37" s="5">
        <f t="shared" si="9"/>
        <v>0</v>
      </c>
      <c r="P37" s="5">
        <f t="shared" si="10"/>
        <v>0</v>
      </c>
      <c r="Q37" s="3">
        <f t="shared" si="11"/>
        <v>0</v>
      </c>
      <c r="R37" s="1"/>
      <c r="S37" s="4">
        <f t="shared" si="1"/>
        <v>0</v>
      </c>
      <c r="T37" s="3">
        <f t="shared" si="2"/>
        <v>0</v>
      </c>
    </row>
    <row r="38" spans="1:20">
      <c r="A38" s="7">
        <v>30</v>
      </c>
      <c r="B38" s="6">
        <v>0</v>
      </c>
      <c r="C38" s="5">
        <f t="shared" si="3"/>
        <v>0</v>
      </c>
      <c r="D38" s="5">
        <f t="shared" si="4"/>
        <v>0</v>
      </c>
      <c r="E38" s="3">
        <f t="shared" si="5"/>
        <v>0</v>
      </c>
      <c r="F38" s="2"/>
      <c r="G38" s="7">
        <v>30</v>
      </c>
      <c r="H38" s="6">
        <v>0</v>
      </c>
      <c r="I38" s="5">
        <f t="shared" si="6"/>
        <v>0</v>
      </c>
      <c r="J38" s="5">
        <f t="shared" si="7"/>
        <v>0</v>
      </c>
      <c r="K38" s="3">
        <f t="shared" si="8"/>
        <v>0</v>
      </c>
      <c r="L38" s="2"/>
      <c r="M38" s="7">
        <v>30</v>
      </c>
      <c r="N38" s="6">
        <v>0</v>
      </c>
      <c r="O38" s="5">
        <f t="shared" si="9"/>
        <v>0</v>
      </c>
      <c r="P38" s="5">
        <f t="shared" si="10"/>
        <v>0</v>
      </c>
      <c r="Q38" s="3">
        <f t="shared" si="11"/>
        <v>0</v>
      </c>
      <c r="R38" s="1"/>
      <c r="S38" s="4">
        <f t="shared" si="1"/>
        <v>0</v>
      </c>
      <c r="T38" s="3">
        <f t="shared" si="2"/>
        <v>0</v>
      </c>
    </row>
    <row r="39" spans="1:20">
      <c r="A39" s="7">
        <v>45</v>
      </c>
      <c r="B39" s="6">
        <v>15.1</v>
      </c>
      <c r="C39" s="5">
        <f t="shared" si="3"/>
        <v>1.166554646518491E-4</v>
      </c>
      <c r="D39" s="5">
        <f t="shared" si="4"/>
        <v>0.10498991818666419</v>
      </c>
      <c r="E39" s="3">
        <f t="shared" si="5"/>
        <v>4.1995967274665675</v>
      </c>
      <c r="F39" s="2"/>
      <c r="G39" s="7">
        <v>45</v>
      </c>
      <c r="H39" s="6">
        <v>0</v>
      </c>
      <c r="I39" s="5">
        <f t="shared" si="6"/>
        <v>0</v>
      </c>
      <c r="J39" s="5">
        <f t="shared" si="7"/>
        <v>0</v>
      </c>
      <c r="K39" s="3">
        <f t="shared" si="8"/>
        <v>0</v>
      </c>
      <c r="L39" s="2"/>
      <c r="M39" s="7">
        <v>45</v>
      </c>
      <c r="N39" s="6">
        <v>13.6</v>
      </c>
      <c r="O39" s="5">
        <f t="shared" si="9"/>
        <v>1.0506717346126807E-4</v>
      </c>
      <c r="P39" s="5">
        <f t="shared" si="10"/>
        <v>9.4560456115141259E-2</v>
      </c>
      <c r="Q39" s="3">
        <f t="shared" si="11"/>
        <v>3.7824182446056502</v>
      </c>
      <c r="R39" s="1"/>
      <c r="S39" s="4">
        <f t="shared" si="1"/>
        <v>2.6606716573574061</v>
      </c>
      <c r="T39" s="3">
        <f t="shared" si="2"/>
        <v>1.8890720337137823</v>
      </c>
    </row>
    <row r="40" spans="1:20">
      <c r="A40" s="7">
        <v>60</v>
      </c>
      <c r="B40" s="6">
        <v>28.2</v>
      </c>
      <c r="C40" s="5">
        <f t="shared" si="3"/>
        <v>2.1785987438292348E-4</v>
      </c>
      <c r="D40" s="5">
        <f t="shared" si="4"/>
        <v>0.19607388694463113</v>
      </c>
      <c r="E40" s="3">
        <f t="shared" si="5"/>
        <v>7.842955477785245</v>
      </c>
      <c r="F40" s="2"/>
      <c r="G40" s="7">
        <v>60</v>
      </c>
      <c r="H40" s="6">
        <v>21.1</v>
      </c>
      <c r="I40" s="5">
        <f t="shared" si="6"/>
        <v>1.6300862941417326E-4</v>
      </c>
      <c r="J40" s="5">
        <f t="shared" si="7"/>
        <v>0.14670776647275593</v>
      </c>
      <c r="K40" s="3">
        <f t="shared" si="8"/>
        <v>5.8683106589102376</v>
      </c>
      <c r="L40" s="2"/>
      <c r="M40" s="7">
        <v>60</v>
      </c>
      <c r="N40" s="6">
        <v>24</v>
      </c>
      <c r="O40" s="5">
        <f t="shared" si="9"/>
        <v>1.8541265904929659E-4</v>
      </c>
      <c r="P40" s="5">
        <f t="shared" si="10"/>
        <v>0.16687139314436694</v>
      </c>
      <c r="Q40" s="3">
        <f t="shared" si="11"/>
        <v>6.6748557257746786</v>
      </c>
      <c r="R40" s="1"/>
      <c r="S40" s="4">
        <f t="shared" si="1"/>
        <v>6.7953739541567204</v>
      </c>
      <c r="T40" s="3">
        <f t="shared" si="2"/>
        <v>0.8106372072662843</v>
      </c>
    </row>
    <row r="41" spans="1:20">
      <c r="A41" s="7">
        <v>75</v>
      </c>
      <c r="B41" s="6">
        <v>41.1</v>
      </c>
      <c r="C41" s="5">
        <f t="shared" si="3"/>
        <v>3.1751917862192042E-4</v>
      </c>
      <c r="D41" s="5">
        <f t="shared" si="4"/>
        <v>0.28576726075972836</v>
      </c>
      <c r="E41" s="3">
        <f t="shared" si="5"/>
        <v>11.430690430389134</v>
      </c>
      <c r="F41" s="2"/>
      <c r="G41" s="7">
        <v>75</v>
      </c>
      <c r="H41" s="6">
        <v>31.2</v>
      </c>
      <c r="I41" s="5">
        <f t="shared" si="6"/>
        <v>2.4103645676408557E-4</v>
      </c>
      <c r="J41" s="5">
        <f t="shared" si="7"/>
        <v>0.21693281108767701</v>
      </c>
      <c r="K41" s="3">
        <f t="shared" si="8"/>
        <v>8.6773124435070805</v>
      </c>
      <c r="L41" s="2"/>
      <c r="M41" s="7">
        <v>75</v>
      </c>
      <c r="N41" s="10">
        <v>34.299999999999997</v>
      </c>
      <c r="O41" s="5">
        <f t="shared" si="9"/>
        <v>2.6498559189128633E-4</v>
      </c>
      <c r="P41" s="5">
        <f t="shared" si="10"/>
        <v>0.23848703270215771</v>
      </c>
      <c r="Q41" s="3">
        <f t="shared" si="11"/>
        <v>9.5394813080863088</v>
      </c>
      <c r="R41" s="1"/>
      <c r="S41" s="4">
        <f t="shared" si="1"/>
        <v>9.8824947273275079</v>
      </c>
      <c r="T41" s="3">
        <f t="shared" si="2"/>
        <v>1.1499322411911479</v>
      </c>
    </row>
    <row r="42" spans="1:20">
      <c r="A42" s="7">
        <v>90</v>
      </c>
      <c r="B42" s="10">
        <v>50.7</v>
      </c>
      <c r="C42" s="5">
        <f t="shared" si="3"/>
        <v>3.9168424224163907E-4</v>
      </c>
      <c r="D42" s="5">
        <f t="shared" si="4"/>
        <v>0.35251581801747517</v>
      </c>
      <c r="E42" s="3">
        <f t="shared" si="5"/>
        <v>14.100632720699007</v>
      </c>
      <c r="F42" s="2"/>
      <c r="G42" s="9">
        <v>90</v>
      </c>
      <c r="H42" s="8">
        <v>39</v>
      </c>
      <c r="I42" s="5">
        <f t="shared" si="6"/>
        <v>3.0129557095510696E-4</v>
      </c>
      <c r="J42" s="5">
        <f t="shared" si="7"/>
        <v>0.27116601385959627</v>
      </c>
      <c r="K42" s="3">
        <f t="shared" si="8"/>
        <v>10.84664055438385</v>
      </c>
      <c r="L42" s="2"/>
      <c r="M42" s="7">
        <v>90</v>
      </c>
      <c r="N42" s="6">
        <v>42.6</v>
      </c>
      <c r="O42" s="5">
        <f t="shared" si="9"/>
        <v>3.2910746981250143E-4</v>
      </c>
      <c r="P42" s="5">
        <f t="shared" si="10"/>
        <v>0.29619672283125131</v>
      </c>
      <c r="Q42" s="3">
        <f t="shared" si="11"/>
        <v>11.847868913250052</v>
      </c>
      <c r="R42" s="1"/>
      <c r="S42" s="4">
        <f t="shared" si="1"/>
        <v>12.265047396110971</v>
      </c>
      <c r="T42" s="3">
        <f t="shared" si="2"/>
        <v>1.3607950297605922</v>
      </c>
    </row>
    <row r="43" spans="1:20">
      <c r="A43" s="7">
        <v>120</v>
      </c>
      <c r="B43" s="10">
        <v>67.099999999999994</v>
      </c>
      <c r="C43" s="5">
        <f t="shared" si="3"/>
        <v>5.183828925919917E-4</v>
      </c>
      <c r="D43" s="5">
        <f t="shared" si="4"/>
        <v>0.46654460333279252</v>
      </c>
      <c r="E43" s="3">
        <f t="shared" si="5"/>
        <v>18.661784133311702</v>
      </c>
      <c r="F43" s="2"/>
      <c r="G43" s="9">
        <v>120</v>
      </c>
      <c r="H43" s="8">
        <v>53.5</v>
      </c>
      <c r="I43" s="5">
        <f t="shared" si="6"/>
        <v>4.1331571913072365E-4</v>
      </c>
      <c r="J43" s="5">
        <f t="shared" si="7"/>
        <v>0.37198414721765127</v>
      </c>
      <c r="K43" s="3">
        <f t="shared" si="8"/>
        <v>14.879365888706051</v>
      </c>
      <c r="L43" s="2"/>
      <c r="M43" s="7">
        <v>120</v>
      </c>
      <c r="N43" s="6">
        <v>59.3</v>
      </c>
      <c r="O43" s="5">
        <f t="shared" si="9"/>
        <v>4.5812377840097031E-4</v>
      </c>
      <c r="P43" s="5">
        <f t="shared" si="10"/>
        <v>0.41231140056087329</v>
      </c>
      <c r="Q43" s="3">
        <f t="shared" si="11"/>
        <v>16.492456022434933</v>
      </c>
      <c r="R43" s="1"/>
      <c r="S43" s="4">
        <f t="shared" si="1"/>
        <v>16.677868681484227</v>
      </c>
      <c r="T43" s="3">
        <f t="shared" si="2"/>
        <v>1.5497215523835719</v>
      </c>
    </row>
    <row r="44" spans="1:20">
      <c r="A44" s="7">
        <v>180</v>
      </c>
      <c r="B44" s="10">
        <v>93.9</v>
      </c>
      <c r="C44" s="5">
        <f t="shared" si="3"/>
        <v>7.25427028530373E-4</v>
      </c>
      <c r="D44" s="5">
        <f t="shared" si="4"/>
        <v>0.65288432567733568</v>
      </c>
      <c r="E44" s="3">
        <f t="shared" si="5"/>
        <v>26.115373027093426</v>
      </c>
      <c r="F44" s="2"/>
      <c r="G44" s="9">
        <v>180</v>
      </c>
      <c r="H44" s="8">
        <v>78.8</v>
      </c>
      <c r="I44" s="5">
        <f t="shared" si="6"/>
        <v>6.0877156387852376E-4</v>
      </c>
      <c r="J44" s="5">
        <f t="shared" si="7"/>
        <v>0.54789440749067142</v>
      </c>
      <c r="K44" s="3">
        <f t="shared" si="8"/>
        <v>21.915776299626856</v>
      </c>
      <c r="L44" s="2"/>
      <c r="M44" s="7">
        <v>180</v>
      </c>
      <c r="N44" s="6">
        <v>80.400000000000006</v>
      </c>
      <c r="O44" s="5">
        <f t="shared" si="9"/>
        <v>6.2113240781514368E-4</v>
      </c>
      <c r="P44" s="5">
        <f t="shared" si="10"/>
        <v>0.55901916703362931</v>
      </c>
      <c r="Q44" s="3">
        <f t="shared" si="11"/>
        <v>22.360766681345172</v>
      </c>
      <c r="R44" s="1"/>
      <c r="S44" s="4">
        <f t="shared" si="1"/>
        <v>23.463972002688482</v>
      </c>
      <c r="T44" s="3">
        <f t="shared" si="2"/>
        <v>1.8836046390041856</v>
      </c>
    </row>
    <row r="45" spans="1:20">
      <c r="A45" s="6">
        <v>360</v>
      </c>
      <c r="B45" s="10">
        <v>150.69999999999999</v>
      </c>
      <c r="C45" s="5">
        <f t="shared" si="3"/>
        <v>1.1642369882803748E-3</v>
      </c>
      <c r="D45" s="5">
        <f t="shared" si="4"/>
        <v>1.0478132894523373</v>
      </c>
      <c r="E45" s="3">
        <f t="shared" si="5"/>
        <v>41.912531578093493</v>
      </c>
      <c r="F45" s="2"/>
      <c r="G45" s="22">
        <v>360</v>
      </c>
      <c r="H45" s="8">
        <v>130.5</v>
      </c>
      <c r="I45" s="5">
        <f t="shared" si="6"/>
        <v>1.0081813335805503E-3</v>
      </c>
      <c r="J45" s="5">
        <f t="shared" si="7"/>
        <v>0.90736320022249528</v>
      </c>
      <c r="K45" s="3">
        <f t="shared" si="8"/>
        <v>36.29452800889981</v>
      </c>
      <c r="L45" s="2"/>
      <c r="M45" s="6">
        <v>360</v>
      </c>
      <c r="N45" s="6">
        <v>133.69999999999999</v>
      </c>
      <c r="O45" s="5">
        <f t="shared" si="9"/>
        <v>1.0329030214537896E-3</v>
      </c>
      <c r="P45" s="5">
        <f t="shared" si="10"/>
        <v>0.92961271930841072</v>
      </c>
      <c r="Q45" s="3">
        <f t="shared" si="11"/>
        <v>37.184508772336429</v>
      </c>
      <c r="R45" s="1"/>
      <c r="S45" s="4">
        <f t="shared" si="1"/>
        <v>38.463856119776572</v>
      </c>
      <c r="T45" s="3">
        <f t="shared" si="2"/>
        <v>2.4655003890244873</v>
      </c>
    </row>
    <row r="46" spans="1:20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>
      <c r="A48" s="39"/>
      <c r="B48" s="40"/>
      <c r="C48" s="18"/>
      <c r="D48" s="18"/>
      <c r="E48" s="17"/>
      <c r="F48" s="2"/>
      <c r="G48" s="39"/>
      <c r="H48" s="40"/>
      <c r="I48" s="18"/>
      <c r="J48" s="18"/>
      <c r="K48" s="17"/>
      <c r="L48" s="2"/>
      <c r="M48" s="39"/>
      <c r="N48" s="40"/>
      <c r="O48" s="18"/>
      <c r="P48" s="18"/>
      <c r="Q48" s="17"/>
      <c r="R48" s="6"/>
      <c r="S48" s="14"/>
      <c r="T48" s="14"/>
    </row>
    <row r="49" spans="1:20" ht="17" thickBot="1">
      <c r="A49" s="16"/>
      <c r="B49" s="15"/>
      <c r="C49" s="6"/>
      <c r="D49" s="6"/>
      <c r="E49" s="11"/>
      <c r="F49" s="2"/>
      <c r="G49" s="16"/>
      <c r="H49" s="15"/>
      <c r="I49" s="6"/>
      <c r="J49" s="6"/>
      <c r="K49" s="11"/>
      <c r="L49" s="2"/>
      <c r="M49" s="16"/>
      <c r="N49" s="15"/>
      <c r="O49" s="6"/>
      <c r="P49" s="6"/>
      <c r="Q49" s="11"/>
      <c r="R49" s="6"/>
      <c r="S49" s="14"/>
      <c r="T49" s="14"/>
    </row>
    <row r="50" spans="1:20">
      <c r="A50" s="7"/>
      <c r="B50" s="6"/>
      <c r="C50" s="6"/>
      <c r="D50" s="6"/>
      <c r="E50" s="11"/>
      <c r="F50" s="2"/>
      <c r="G50" s="7"/>
      <c r="H50" s="6"/>
      <c r="I50" s="6"/>
      <c r="J50" s="6"/>
      <c r="K50" s="11"/>
      <c r="L50" s="2"/>
      <c r="M50" s="7"/>
      <c r="N50" s="6"/>
      <c r="O50" s="6"/>
      <c r="P50" s="6"/>
      <c r="Q50" s="11"/>
      <c r="R50" s="6"/>
      <c r="S50" s="13" t="s">
        <v>1</v>
      </c>
      <c r="T50" s="12" t="s">
        <v>0</v>
      </c>
    </row>
    <row r="51" spans="1:20">
      <c r="A51" s="7"/>
      <c r="B51" s="6"/>
      <c r="C51" s="6"/>
      <c r="D51" s="6"/>
      <c r="E51" s="11"/>
      <c r="F51" s="2"/>
      <c r="G51" s="7"/>
      <c r="H51" s="6"/>
      <c r="I51" s="6"/>
      <c r="J51" s="6"/>
      <c r="K51" s="11"/>
      <c r="L51" s="2"/>
      <c r="M51" s="7"/>
      <c r="N51" s="6"/>
      <c r="O51" s="6"/>
      <c r="P51" s="6"/>
      <c r="Q51" s="11"/>
      <c r="R51" s="6"/>
      <c r="S51" s="4" t="e">
        <f>AVERAGE(E51,K51,Q51)</f>
        <v>#DIV/0!</v>
      </c>
      <c r="T51" s="3" t="e">
        <f>STDEVP(E51,K51,Q51)</f>
        <v>#DIV/0!</v>
      </c>
    </row>
    <row r="52" spans="1:20">
      <c r="A52" s="7"/>
      <c r="B52" s="6"/>
      <c r="C52" s="5"/>
      <c r="D52" s="5"/>
      <c r="E52" s="3"/>
      <c r="F52" s="2"/>
      <c r="G52" s="7"/>
      <c r="H52" s="6"/>
      <c r="I52" s="5"/>
      <c r="J52" s="5"/>
      <c r="K52" s="3"/>
      <c r="L52" s="2"/>
      <c r="M52" s="7"/>
      <c r="N52" s="6"/>
      <c r="O52" s="5"/>
      <c r="P52" s="5"/>
      <c r="Q52" s="3"/>
      <c r="R52" s="1"/>
      <c r="S52" s="4" t="e">
        <f>AVERAGE(E52,K52,Q52)</f>
        <v>#DIV/0!</v>
      </c>
      <c r="T52" s="3" t="e">
        <f>STDEVP(E52,K52,Q52)</f>
        <v>#DIV/0!</v>
      </c>
    </row>
    <row r="53" spans="1:20">
      <c r="A53" s="7"/>
      <c r="B53" s="6"/>
      <c r="C53" s="5"/>
      <c r="D53" s="5"/>
      <c r="E53" s="3"/>
      <c r="F53" s="2"/>
      <c r="G53" s="7"/>
      <c r="H53" s="6"/>
      <c r="I53" s="5"/>
      <c r="J53" s="5"/>
      <c r="K53" s="3"/>
      <c r="L53" s="2"/>
      <c r="M53" s="7"/>
      <c r="N53" s="6"/>
      <c r="O53" s="5"/>
      <c r="P53" s="5"/>
      <c r="Q53" s="3"/>
      <c r="R53" s="1"/>
      <c r="S53" s="4" t="e">
        <f t="shared" ref="S53:S62" si="12">AVERAGE(E53,K53,Q53)</f>
        <v>#DIV/0!</v>
      </c>
      <c r="T53" s="3" t="e">
        <f t="shared" ref="T53:T62" si="13">STDEVP(E53,K53,Q53)</f>
        <v>#DIV/0!</v>
      </c>
    </row>
    <row r="54" spans="1:20">
      <c r="A54" s="7"/>
      <c r="B54" s="6"/>
      <c r="C54" s="5"/>
      <c r="D54" s="5"/>
      <c r="E54" s="3"/>
      <c r="F54" s="2"/>
      <c r="G54" s="7"/>
      <c r="H54" s="6"/>
      <c r="I54" s="5"/>
      <c r="J54" s="5"/>
      <c r="K54" s="3"/>
      <c r="L54" s="2"/>
      <c r="M54" s="7"/>
      <c r="N54" s="6"/>
      <c r="O54" s="5"/>
      <c r="P54" s="5"/>
      <c r="Q54" s="3"/>
      <c r="R54" s="1"/>
      <c r="S54" s="4" t="e">
        <f t="shared" si="12"/>
        <v>#DIV/0!</v>
      </c>
      <c r="T54" s="3" t="e">
        <f t="shared" si="13"/>
        <v>#DIV/0!</v>
      </c>
    </row>
    <row r="55" spans="1:20">
      <c r="A55" s="7"/>
      <c r="B55" s="6"/>
      <c r="C55" s="5"/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 t="e">
        <f t="shared" si="12"/>
        <v>#DIV/0!</v>
      </c>
      <c r="T55" s="3" t="e">
        <f t="shared" si="13"/>
        <v>#DIV/0!</v>
      </c>
    </row>
    <row r="56" spans="1:20">
      <c r="A56" s="7"/>
      <c r="B56" s="6"/>
      <c r="C56" s="5"/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 t="e">
        <f t="shared" si="12"/>
        <v>#DIV/0!</v>
      </c>
      <c r="T56" s="3" t="e">
        <f t="shared" si="13"/>
        <v>#DIV/0!</v>
      </c>
    </row>
    <row r="57" spans="1:20">
      <c r="A57" s="7"/>
      <c r="B57" s="6"/>
      <c r="C57" s="5"/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 t="e">
        <f t="shared" si="12"/>
        <v>#DIV/0!</v>
      </c>
      <c r="T57" s="3" t="e">
        <f t="shared" si="13"/>
        <v>#DIV/0!</v>
      </c>
    </row>
    <row r="58" spans="1:20">
      <c r="A58" s="7"/>
      <c r="B58" s="6"/>
      <c r="C58" s="5"/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 t="e">
        <f t="shared" si="12"/>
        <v>#DIV/0!</v>
      </c>
      <c r="T58" s="3" t="e">
        <f t="shared" si="13"/>
        <v>#DIV/0!</v>
      </c>
    </row>
    <row r="59" spans="1:20">
      <c r="A59" s="7"/>
      <c r="B59" s="10"/>
      <c r="C59" s="5"/>
      <c r="D59" s="5"/>
      <c r="E59" s="3"/>
      <c r="F59" s="2"/>
      <c r="G59" s="9"/>
      <c r="H59" s="8"/>
      <c r="I59" s="5"/>
      <c r="J59" s="5"/>
      <c r="K59" s="3"/>
      <c r="L59" s="2"/>
      <c r="M59" s="7"/>
      <c r="N59" s="6"/>
      <c r="O59" s="5"/>
      <c r="P59" s="5"/>
      <c r="Q59" s="3"/>
      <c r="R59" s="1"/>
      <c r="S59" s="4" t="e">
        <f t="shared" si="12"/>
        <v>#DIV/0!</v>
      </c>
      <c r="T59" s="3" t="e">
        <f t="shared" si="13"/>
        <v>#DIV/0!</v>
      </c>
    </row>
    <row r="60" spans="1:20">
      <c r="A60" s="7"/>
      <c r="B60" s="10"/>
      <c r="C60" s="5"/>
      <c r="D60" s="5"/>
      <c r="E60" s="3"/>
      <c r="F60" s="2"/>
      <c r="G60" s="9"/>
      <c r="H60" s="8"/>
      <c r="I60" s="5"/>
      <c r="J60" s="5"/>
      <c r="K60" s="3"/>
      <c r="L60" s="2"/>
      <c r="M60" s="7"/>
      <c r="N60" s="6"/>
      <c r="O60" s="5"/>
      <c r="P60" s="5"/>
      <c r="Q60" s="3"/>
      <c r="R60" s="1"/>
      <c r="S60" s="4" t="e">
        <f t="shared" si="12"/>
        <v>#DIV/0!</v>
      </c>
      <c r="T60" s="3" t="e">
        <f t="shared" si="13"/>
        <v>#DIV/0!</v>
      </c>
    </row>
    <row r="61" spans="1:20">
      <c r="A61" s="9"/>
      <c r="B61" s="22"/>
      <c r="C61" s="5"/>
      <c r="D61" s="5"/>
      <c r="E61" s="3"/>
      <c r="G61" s="9"/>
      <c r="H61" s="22"/>
      <c r="I61" s="23"/>
      <c r="J61" s="23"/>
      <c r="K61" s="24"/>
      <c r="M61" s="9"/>
      <c r="N61" s="22"/>
      <c r="O61" s="5"/>
      <c r="P61" s="5"/>
      <c r="Q61" s="3"/>
      <c r="S61" s="25" t="e">
        <f t="shared" si="12"/>
        <v>#DIV/0!</v>
      </c>
      <c r="T61" s="24" t="e">
        <f t="shared" si="13"/>
        <v>#DIV/0!</v>
      </c>
    </row>
    <row r="62" spans="1:20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25" t="e">
        <f t="shared" si="12"/>
        <v>#DIV/0!</v>
      </c>
      <c r="T62" s="24" t="e">
        <f t="shared" si="13"/>
        <v>#DIV/0!</v>
      </c>
    </row>
    <row r="65" spans="1:3">
      <c r="B65" t="s">
        <v>14</v>
      </c>
      <c r="C65" t="s">
        <v>10</v>
      </c>
    </row>
    <row r="66" spans="1:3">
      <c r="A66" t="s">
        <v>19</v>
      </c>
      <c r="B66">
        <v>42.57</v>
      </c>
      <c r="C66">
        <v>81</v>
      </c>
    </row>
    <row r="67" spans="1:3">
      <c r="B67">
        <v>62.43</v>
      </c>
      <c r="C67">
        <v>101.4</v>
      </c>
    </row>
    <row r="68" spans="1:3">
      <c r="B68">
        <v>66.98</v>
      </c>
      <c r="C68">
        <v>85.57</v>
      </c>
    </row>
    <row r="70" spans="1:3">
      <c r="A70" t="s">
        <v>20</v>
      </c>
      <c r="B70">
        <f>_xlfn.T.TEST(B66:B68,C66:C68,2,2)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DFEB8-10DE-5A4E-946E-EE233080DFA8}">
  <dimension ref="A1:H29"/>
  <sheetViews>
    <sheetView workbookViewId="0">
      <selection activeCell="F21" sqref="F21"/>
    </sheetView>
  </sheetViews>
  <sheetFormatPr baseColWidth="10" defaultRowHeight="16"/>
  <sheetData>
    <row r="1" spans="1:8">
      <c r="B1" t="s">
        <v>48</v>
      </c>
      <c r="C1" t="s">
        <v>41</v>
      </c>
      <c r="F1" t="s">
        <v>74</v>
      </c>
      <c r="G1" t="s">
        <v>48</v>
      </c>
      <c r="H1" t="s">
        <v>41</v>
      </c>
    </row>
    <row r="2" spans="1:8">
      <c r="A2" t="s">
        <v>49</v>
      </c>
      <c r="B2">
        <v>0</v>
      </c>
      <c r="C2">
        <v>3.87</v>
      </c>
      <c r="G2">
        <v>0.29619259266908043</v>
      </c>
      <c r="H2">
        <v>0.71024122195482009</v>
      </c>
    </row>
    <row r="3" spans="1:8">
      <c r="B3">
        <v>0</v>
      </c>
      <c r="C3">
        <v>4.3099999999999996</v>
      </c>
      <c r="G3">
        <v>0.27684318524687818</v>
      </c>
      <c r="H3">
        <v>0.71475344343238989</v>
      </c>
    </row>
    <row r="4" spans="1:8">
      <c r="B4">
        <v>0</v>
      </c>
      <c r="C4">
        <v>0</v>
      </c>
      <c r="G4">
        <v>0.28835319886433075</v>
      </c>
      <c r="H4">
        <v>0.71414978727640255</v>
      </c>
    </row>
    <row r="5" spans="1:8">
      <c r="G5">
        <v>0.46016482982754181</v>
      </c>
      <c r="H5">
        <v>0.47280826132990611</v>
      </c>
    </row>
    <row r="6" spans="1:8">
      <c r="A6" t="s">
        <v>20</v>
      </c>
      <c r="B6">
        <f>_xlfn.T.TEST(B2:B4,C2:C4,2,2)</f>
        <v>0.1172660874303183</v>
      </c>
      <c r="G6">
        <v>0.31840246912738973</v>
      </c>
      <c r="H6">
        <v>0.43477731106187606</v>
      </c>
    </row>
    <row r="7" spans="1:8">
      <c r="G7">
        <v>0.37773011625153541</v>
      </c>
      <c r="H7">
        <v>0.39082632932338546</v>
      </c>
    </row>
    <row r="8" spans="1:8">
      <c r="A8" t="s">
        <v>50</v>
      </c>
      <c r="B8">
        <v>11.99</v>
      </c>
      <c r="C8">
        <v>13.6</v>
      </c>
      <c r="G8">
        <v>0.34366001545161351</v>
      </c>
      <c r="H8">
        <v>0.35729880108013334</v>
      </c>
    </row>
    <row r="9" spans="1:8">
      <c r="B9">
        <v>6.43</v>
      </c>
      <c r="C9">
        <v>16.2</v>
      </c>
      <c r="G9">
        <v>0.34861362056309836</v>
      </c>
      <c r="H9">
        <v>0.32064762300470623</v>
      </c>
    </row>
    <row r="10" spans="1:8">
      <c r="B10">
        <v>7.56</v>
      </c>
      <c r="C10">
        <v>0</v>
      </c>
      <c r="H10">
        <v>0.28683381209013142</v>
      </c>
    </row>
    <row r="12" spans="1:8">
      <c r="A12" t="s">
        <v>20</v>
      </c>
      <c r="B12">
        <f>_xlfn.T.TEST(B8:B10,C8:C10,2,2)</f>
        <v>0.82200685721377731</v>
      </c>
      <c r="F12" t="s">
        <v>20</v>
      </c>
      <c r="G12">
        <f>_xlfn.T.TEST(G2:G9,H2:H10,1,2)</f>
        <v>1.8605536090122974E-2</v>
      </c>
    </row>
    <row r="14" spans="1:8">
      <c r="A14" s="26" t="s">
        <v>51</v>
      </c>
      <c r="B14" s="26">
        <v>27.17</v>
      </c>
      <c r="C14" s="26">
        <v>27.03</v>
      </c>
    </row>
    <row r="15" spans="1:8">
      <c r="A15" s="26"/>
      <c r="B15" s="26">
        <v>11.65</v>
      </c>
      <c r="C15" s="26">
        <v>29.42</v>
      </c>
    </row>
    <row r="16" spans="1:8">
      <c r="A16" s="26"/>
      <c r="B16" s="26">
        <v>23.03</v>
      </c>
      <c r="C16" s="26">
        <v>9.98</v>
      </c>
    </row>
    <row r="17" spans="1:6">
      <c r="A17" s="26"/>
      <c r="B17" s="26"/>
      <c r="C17" s="26"/>
    </row>
    <row r="18" spans="1:6">
      <c r="A18" s="26" t="s">
        <v>19</v>
      </c>
      <c r="B18" s="26">
        <v>34.619999999999997</v>
      </c>
      <c r="C18" s="26">
        <v>43</v>
      </c>
    </row>
    <row r="19" spans="1:6">
      <c r="A19" s="26"/>
      <c r="B19" s="26">
        <v>14.57</v>
      </c>
      <c r="C19" s="26">
        <v>44</v>
      </c>
    </row>
    <row r="20" spans="1:6">
      <c r="A20" s="26"/>
      <c r="B20" s="26">
        <v>35.770000000000003</v>
      </c>
      <c r="C20" s="26">
        <v>19.41</v>
      </c>
    </row>
    <row r="21" spans="1:6">
      <c r="A21" s="26"/>
      <c r="B21" s="26"/>
      <c r="C21" s="26"/>
      <c r="E21" t="s">
        <v>20</v>
      </c>
      <c r="F21">
        <f>_xlfn.T.TEST(C18:C20,C25:C27,2,2)</f>
        <v>0.36482068454858585</v>
      </c>
    </row>
    <row r="22" spans="1:6">
      <c r="A22" s="26"/>
      <c r="B22" s="26"/>
      <c r="C22" s="26"/>
    </row>
    <row r="23" spans="1:6">
      <c r="A23" s="26" t="s">
        <v>20</v>
      </c>
      <c r="B23">
        <f>_xlfn.T.TEST(B14:B16,C14:C16,2,2)</f>
        <v>0.85213713143067937</v>
      </c>
      <c r="C23" s="26"/>
    </row>
    <row r="25" spans="1:6">
      <c r="A25" s="26" t="s">
        <v>52</v>
      </c>
      <c r="B25" s="26">
        <v>35.799999999999997</v>
      </c>
      <c r="C25" s="26">
        <v>58.4</v>
      </c>
    </row>
    <row r="26" spans="1:6">
      <c r="A26" s="26"/>
      <c r="B26" s="26">
        <v>14.28</v>
      </c>
      <c r="C26" s="26">
        <v>58.1</v>
      </c>
    </row>
    <row r="27" spans="1:6">
      <c r="A27" s="26"/>
      <c r="B27" s="26">
        <v>34.26</v>
      </c>
      <c r="C27" s="26">
        <v>28.79</v>
      </c>
    </row>
    <row r="28" spans="1:6">
      <c r="A28" s="26"/>
      <c r="B28" s="26"/>
      <c r="C28" s="26"/>
    </row>
    <row r="29" spans="1:6">
      <c r="A29" s="26" t="s">
        <v>20</v>
      </c>
      <c r="B29">
        <f>_xlfn.T.TEST(B25:B27,C25:C27,2,2)</f>
        <v>0.16624344827629697</v>
      </c>
      <c r="C29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82D1-0E14-0A45-A52B-E8BB3341C2E0}">
  <dimension ref="A1:S63"/>
  <sheetViews>
    <sheetView topLeftCell="A32" zoomScale="85" workbookViewId="0">
      <selection activeCell="F26" sqref="F26:H28"/>
    </sheetView>
  </sheetViews>
  <sheetFormatPr baseColWidth="10" defaultRowHeight="16"/>
  <cols>
    <col min="2" max="2" width="11" bestFit="1" customWidth="1"/>
    <col min="3" max="3" width="12.6640625" customWidth="1"/>
    <col min="4" max="4" width="13.33203125" bestFit="1" customWidth="1"/>
    <col min="7" max="7" width="11" bestFit="1" customWidth="1"/>
  </cols>
  <sheetData>
    <row r="1" spans="1:19" ht="21">
      <c r="A1" s="35" t="s">
        <v>72</v>
      </c>
      <c r="B1" s="32" t="s">
        <v>71</v>
      </c>
      <c r="E1" s="33" t="s">
        <v>70</v>
      </c>
    </row>
    <row r="2" spans="1:19">
      <c r="A2" t="s">
        <v>60</v>
      </c>
      <c r="B2" t="s">
        <v>65</v>
      </c>
      <c r="C2" t="s">
        <v>64</v>
      </c>
      <c r="D2" t="s">
        <v>69</v>
      </c>
    </row>
    <row r="3" spans="1:19">
      <c r="A3" s="7">
        <v>0</v>
      </c>
      <c r="B3" s="4">
        <v>0</v>
      </c>
      <c r="C3">
        <f t="shared" ref="C3:C13" si="0">$G$3*(A3^$G$4)</f>
        <v>0</v>
      </c>
      <c r="D3" s="34">
        <f t="shared" ref="D3:D13" si="1">(B3-C3)^2</f>
        <v>0</v>
      </c>
      <c r="F3" t="s">
        <v>57</v>
      </c>
      <c r="G3">
        <v>0.94052129027849363</v>
      </c>
    </row>
    <row r="4" spans="1:19">
      <c r="A4" s="7">
        <v>5</v>
      </c>
      <c r="B4" s="4">
        <v>0</v>
      </c>
      <c r="C4">
        <f t="shared" si="0"/>
        <v>2.8081709534856838</v>
      </c>
      <c r="D4" s="34">
        <f t="shared" si="1"/>
        <v>7.8858241040006947</v>
      </c>
      <c r="F4" t="s">
        <v>63</v>
      </c>
      <c r="G4">
        <v>0.67964992624842679</v>
      </c>
    </row>
    <row r="5" spans="1:19" ht="17" thickBot="1">
      <c r="A5" s="7">
        <v>15</v>
      </c>
      <c r="B5" s="4">
        <v>2.7255660880246602</v>
      </c>
      <c r="C5">
        <f t="shared" si="0"/>
        <v>5.9251448036091752</v>
      </c>
      <c r="D5" s="34">
        <f t="shared" si="1"/>
        <v>10.237303957221455</v>
      </c>
      <c r="F5" t="s">
        <v>56</v>
      </c>
      <c r="G5" s="27">
        <v>0.9866786078388603</v>
      </c>
    </row>
    <row r="6" spans="1:19" ht="17" thickBot="1">
      <c r="A6" s="7">
        <v>30</v>
      </c>
      <c r="B6" s="4">
        <v>6.4245486360581268</v>
      </c>
      <c r="C6">
        <f t="shared" si="0"/>
        <v>9.4906068448803467</v>
      </c>
      <c r="D6" s="34">
        <f t="shared" si="1"/>
        <v>9.4007129398861196</v>
      </c>
    </row>
    <row r="7" spans="1:19">
      <c r="A7" s="7">
        <v>45</v>
      </c>
      <c r="B7" s="4">
        <v>9.8732240943750433</v>
      </c>
      <c r="C7">
        <f t="shared" si="0"/>
        <v>12.501853172492686</v>
      </c>
      <c r="D7" s="34">
        <f t="shared" si="1"/>
        <v>6.9096908303256059</v>
      </c>
      <c r="F7" t="s">
        <v>55</v>
      </c>
      <c r="G7" s="34">
        <f>SUM(D3:D13)</f>
        <v>70.806153584330758</v>
      </c>
      <c r="Q7" s="29"/>
      <c r="R7" s="29"/>
      <c r="S7" s="29"/>
    </row>
    <row r="8" spans="1:19" ht="17" thickBot="1">
      <c r="A8" s="7">
        <v>60</v>
      </c>
      <c r="B8" s="4">
        <v>14.693953229656756</v>
      </c>
      <c r="C8">
        <f t="shared" si="0"/>
        <v>15.201589373684925</v>
      </c>
      <c r="D8" s="34">
        <f t="shared" si="1"/>
        <v>0.25769445472378766</v>
      </c>
      <c r="Q8" s="28"/>
      <c r="R8" s="28"/>
      <c r="S8" s="28"/>
    </row>
    <row r="9" spans="1:19" ht="17" thickBot="1">
      <c r="A9" s="7">
        <v>75</v>
      </c>
      <c r="B9" s="4">
        <v>18.69886666512156</v>
      </c>
      <c r="C9">
        <f t="shared" si="0"/>
        <v>17.691061015498192</v>
      </c>
      <c r="D9" s="34">
        <f t="shared" si="1"/>
        <v>1.0156722274127785</v>
      </c>
      <c r="F9" s="29"/>
      <c r="G9" s="29" t="s">
        <v>54</v>
      </c>
      <c r="H9" s="29" t="s">
        <v>53</v>
      </c>
      <c r="Q9" s="27"/>
      <c r="R9" s="27"/>
      <c r="S9" s="27"/>
    </row>
    <row r="10" spans="1:19">
      <c r="A10" s="7">
        <v>90</v>
      </c>
      <c r="B10" s="4">
        <v>22.14754212343848</v>
      </c>
      <c r="C10">
        <f t="shared" si="0"/>
        <v>20.024856307355552</v>
      </c>
      <c r="D10" s="34">
        <f t="shared" si="1"/>
        <v>4.5057950737996464</v>
      </c>
      <c r="F10" s="28" t="s">
        <v>54</v>
      </c>
      <c r="G10" s="28">
        <v>1</v>
      </c>
      <c r="H10" s="28"/>
    </row>
    <row r="11" spans="1:19" ht="17" thickBot="1">
      <c r="A11" s="7">
        <v>120</v>
      </c>
      <c r="B11" s="4">
        <v>27.54305050177301</v>
      </c>
      <c r="C11">
        <f t="shared" si="0"/>
        <v>24.349161572401421</v>
      </c>
      <c r="D11" s="34">
        <f t="shared" si="1"/>
        <v>10.200926493162394</v>
      </c>
      <c r="F11" s="27" t="s">
        <v>53</v>
      </c>
      <c r="G11" s="27">
        <v>0.9866786078388603</v>
      </c>
      <c r="H11" s="27">
        <v>1</v>
      </c>
    </row>
    <row r="12" spans="1:19">
      <c r="A12" s="7">
        <v>180</v>
      </c>
      <c r="B12" s="4">
        <v>35.49725357498783</v>
      </c>
      <c r="C12">
        <f t="shared" si="0"/>
        <v>32.07483439435444</v>
      </c>
      <c r="D12" s="34">
        <f t="shared" si="1"/>
        <v>11.712953047967329</v>
      </c>
    </row>
    <row r="13" spans="1:19">
      <c r="A13" s="6">
        <v>360</v>
      </c>
      <c r="B13" s="4">
        <v>48.429786543676272</v>
      </c>
      <c r="C13">
        <f t="shared" si="0"/>
        <v>51.375899314062181</v>
      </c>
      <c r="D13" s="34">
        <f t="shared" si="1"/>
        <v>8.6795804558309371</v>
      </c>
    </row>
    <row r="18" spans="1:8">
      <c r="B18" s="32" t="s">
        <v>68</v>
      </c>
      <c r="E18" s="33" t="s">
        <v>67</v>
      </c>
      <c r="F18" s="31" t="s">
        <v>66</v>
      </c>
    </row>
    <row r="19" spans="1:8">
      <c r="A19" t="s">
        <v>60</v>
      </c>
      <c r="B19" t="s">
        <v>65</v>
      </c>
      <c r="C19" t="s">
        <v>64</v>
      </c>
      <c r="D19" t="s">
        <v>0</v>
      </c>
    </row>
    <row r="20" spans="1:8">
      <c r="A20">
        <v>0</v>
      </c>
      <c r="B20" s="4">
        <v>0</v>
      </c>
      <c r="C20">
        <f>1- (1-$G$20*A20)^$G$21</f>
        <v>0</v>
      </c>
      <c r="D20">
        <f t="shared" ref="D20:D30" si="2">(B20-C20)^2</f>
        <v>0</v>
      </c>
      <c r="F20" s="31" t="s">
        <v>57</v>
      </c>
      <c r="G20">
        <v>1.2992258582950384E-2</v>
      </c>
    </row>
    <row r="21" spans="1:8">
      <c r="A21">
        <v>5</v>
      </c>
      <c r="B21" s="4">
        <v>0</v>
      </c>
      <c r="C21">
        <f t="shared" ref="C21:C30" si="3">1- (1-$G$20*A21)^$G$21</f>
        <v>0.18249810469258021</v>
      </c>
      <c r="D21">
        <f t="shared" si="2"/>
        <v>3.3305558216383965E-2</v>
      </c>
      <c r="F21" t="s">
        <v>63</v>
      </c>
      <c r="G21">
        <v>3</v>
      </c>
    </row>
    <row r="22" spans="1:8">
      <c r="A22">
        <v>15</v>
      </c>
      <c r="B22" s="4">
        <v>2.7255660880246602</v>
      </c>
      <c r="C22">
        <f t="shared" si="3"/>
        <v>0.47811409400396043</v>
      </c>
      <c r="D22">
        <f t="shared" si="2"/>
        <v>5.0510404654276195</v>
      </c>
      <c r="F22" t="s">
        <v>56</v>
      </c>
    </row>
    <row r="23" spans="1:8">
      <c r="A23">
        <v>30</v>
      </c>
      <c r="B23" s="4">
        <v>6.4245486360581268</v>
      </c>
      <c r="C23">
        <f t="shared" si="3"/>
        <v>0.77275964896795002</v>
      </c>
      <c r="D23">
        <f t="shared" si="2"/>
        <v>31.942718754593802</v>
      </c>
    </row>
    <row r="24" spans="1:8">
      <c r="A24">
        <v>45</v>
      </c>
      <c r="B24" s="4">
        <v>9.8732240943750433</v>
      </c>
      <c r="C24">
        <f t="shared" si="3"/>
        <v>0.92834648301843226</v>
      </c>
      <c r="D24">
        <f t="shared" si="2"/>
        <v>80.010835482148764</v>
      </c>
      <c r="F24" t="s">
        <v>55</v>
      </c>
      <c r="G24">
        <f>SUM(D20:D30)</f>
        <v>2795.988791598998</v>
      </c>
    </row>
    <row r="25" spans="1:8" ht="17" thickBot="1">
      <c r="A25">
        <v>60</v>
      </c>
      <c r="B25" s="4">
        <v>14.693953229656756</v>
      </c>
      <c r="C25">
        <f t="shared" si="3"/>
        <v>0.98928441428187064</v>
      </c>
      <c r="D25">
        <f t="shared" si="2"/>
        <v>187.81794733910888</v>
      </c>
    </row>
    <row r="26" spans="1:8">
      <c r="A26">
        <v>75</v>
      </c>
      <c r="B26" s="4">
        <v>18.69886666512156</v>
      </c>
      <c r="C26">
        <f t="shared" si="3"/>
        <v>0.99998326088472911</v>
      </c>
      <c r="D26">
        <f t="shared" si="2"/>
        <v>313.25047375676991</v>
      </c>
      <c r="F26" s="29"/>
      <c r="G26" s="29" t="s">
        <v>54</v>
      </c>
      <c r="H26" s="29" t="s">
        <v>53</v>
      </c>
    </row>
    <row r="27" spans="1:8">
      <c r="A27">
        <v>90</v>
      </c>
      <c r="B27" s="4">
        <v>22.14754212343848</v>
      </c>
      <c r="C27">
        <f t="shared" si="3"/>
        <v>1.0048528409534712</v>
      </c>
      <c r="D27">
        <f t="shared" si="2"/>
        <v>447.01331009570646</v>
      </c>
      <c r="F27" s="28" t="s">
        <v>54</v>
      </c>
      <c r="G27" s="28">
        <v>1</v>
      </c>
      <c r="H27" s="28"/>
    </row>
    <row r="28" spans="1:8" ht="17" thickBot="1">
      <c r="A28">
        <v>120</v>
      </c>
      <c r="B28" s="4">
        <v>27.54305050177301</v>
      </c>
      <c r="C28">
        <f t="shared" si="3"/>
        <v>1.1747434739944607</v>
      </c>
      <c r="D28">
        <f t="shared" si="2"/>
        <v>695.28761551119567</v>
      </c>
      <c r="F28" s="27" t="s">
        <v>53</v>
      </c>
      <c r="G28" s="27">
        <v>0.70813594536338187</v>
      </c>
      <c r="H28" s="27">
        <v>1</v>
      </c>
    </row>
    <row r="29" spans="1:8">
      <c r="A29">
        <v>180</v>
      </c>
      <c r="B29" s="4">
        <v>35.49725357498783</v>
      </c>
      <c r="C29">
        <f t="shared" si="3"/>
        <v>3.3986055392314447</v>
      </c>
      <c r="D29">
        <f t="shared" si="2"/>
        <v>1030.3232057233672</v>
      </c>
    </row>
    <row r="30" spans="1:8">
      <c r="A30">
        <v>360</v>
      </c>
      <c r="B30" s="4">
        <v>48.429786543676272</v>
      </c>
      <c r="C30">
        <f t="shared" si="3"/>
        <v>50.722893369025506</v>
      </c>
      <c r="D30">
        <f t="shared" si="2"/>
        <v>5.2583389124632429</v>
      </c>
    </row>
    <row r="34" spans="1:8">
      <c r="B34" s="32" t="s">
        <v>62</v>
      </c>
      <c r="D34" s="31" t="s">
        <v>61</v>
      </c>
    </row>
    <row r="35" spans="1:8">
      <c r="A35" t="s">
        <v>60</v>
      </c>
      <c r="B35" t="s">
        <v>59</v>
      </c>
      <c r="C35" t="s">
        <v>58</v>
      </c>
      <c r="D35" t="s">
        <v>0</v>
      </c>
    </row>
    <row r="36" spans="1:8">
      <c r="A36" s="30">
        <v>0</v>
      </c>
      <c r="B36">
        <f t="shared" ref="B36:B46" si="4">3/2*(1-(1-B20/100)^(2/3))-B20/100</f>
        <v>0</v>
      </c>
      <c r="C36">
        <f t="shared" ref="C36:C46" si="5">$G$36*A36</f>
        <v>0</v>
      </c>
      <c r="D36">
        <f t="shared" ref="D36:D46" si="6">(B36-C36)^2</f>
        <v>0</v>
      </c>
      <c r="F36" t="s">
        <v>57</v>
      </c>
      <c r="G36">
        <v>1.3355093779932219E-4</v>
      </c>
    </row>
    <row r="37" spans="1:8" ht="17" thickBot="1">
      <c r="A37" s="30">
        <v>5</v>
      </c>
      <c r="B37">
        <f t="shared" si="4"/>
        <v>0</v>
      </c>
      <c r="C37">
        <f t="shared" si="5"/>
        <v>6.6775468899661096E-4</v>
      </c>
      <c r="D37">
        <f t="shared" si="6"/>
        <v>4.4589632467696064E-7</v>
      </c>
      <c r="F37" t="s">
        <v>56</v>
      </c>
      <c r="G37" s="27">
        <v>0.99363082930679103</v>
      </c>
    </row>
    <row r="38" spans="1:8">
      <c r="A38" s="30">
        <v>15</v>
      </c>
      <c r="B38">
        <f t="shared" si="4"/>
        <v>1.2533593983189359E-4</v>
      </c>
      <c r="C38">
        <f t="shared" si="5"/>
        <v>2.0032640669898328E-3</v>
      </c>
      <c r="D38">
        <f t="shared" si="6"/>
        <v>3.5266140507709251E-6</v>
      </c>
    </row>
    <row r="39" spans="1:8">
      <c r="A39" s="30">
        <v>30</v>
      </c>
      <c r="B39">
        <f t="shared" si="4"/>
        <v>7.0832532761432032E-4</v>
      </c>
      <c r="C39">
        <f t="shared" si="5"/>
        <v>4.0065281339796656E-3</v>
      </c>
      <c r="D39">
        <f t="shared" si="6"/>
        <v>1.0878141751916239E-5</v>
      </c>
      <c r="F39" t="s">
        <v>55</v>
      </c>
      <c r="G39">
        <f>SUM(D36:D46)</f>
        <v>8.5235963902653678E-5</v>
      </c>
    </row>
    <row r="40" spans="1:8" ht="17" thickBot="1">
      <c r="A40" s="30">
        <v>45</v>
      </c>
      <c r="B40">
        <f t="shared" si="4"/>
        <v>1.7003654050636308E-3</v>
      </c>
      <c r="C40">
        <f t="shared" si="5"/>
        <v>6.0097922009694988E-3</v>
      </c>
      <c r="D40">
        <f t="shared" si="6"/>
        <v>1.8571159309271516E-5</v>
      </c>
    </row>
    <row r="41" spans="1:8">
      <c r="A41" s="30">
        <v>60</v>
      </c>
      <c r="B41">
        <f t="shared" si="4"/>
        <v>3.8558982863068081E-3</v>
      </c>
      <c r="C41">
        <f t="shared" si="5"/>
        <v>8.0130562679593311E-3</v>
      </c>
      <c r="D41">
        <f t="shared" si="6"/>
        <v>1.728196248441728E-5</v>
      </c>
      <c r="F41" s="29"/>
      <c r="G41" s="29" t="s">
        <v>54</v>
      </c>
      <c r="H41" s="29" t="s">
        <v>53</v>
      </c>
    </row>
    <row r="42" spans="1:8">
      <c r="A42" s="30">
        <v>75</v>
      </c>
      <c r="B42">
        <f t="shared" si="4"/>
        <v>6.3722064932130729E-3</v>
      </c>
      <c r="C42">
        <f t="shared" si="5"/>
        <v>1.0016320334949164E-2</v>
      </c>
      <c r="D42">
        <f t="shared" si="6"/>
        <v>1.3279565691532575E-5</v>
      </c>
      <c r="F42" s="28" t="s">
        <v>54</v>
      </c>
      <c r="G42" s="28">
        <v>1</v>
      </c>
      <c r="H42" s="28"/>
    </row>
    <row r="43" spans="1:8" ht="17" thickBot="1">
      <c r="A43" s="30">
        <v>90</v>
      </c>
      <c r="B43">
        <f t="shared" si="4"/>
        <v>9.1022167558868494E-3</v>
      </c>
      <c r="C43">
        <f t="shared" si="5"/>
        <v>1.2019584401938998E-2</v>
      </c>
      <c r="D43">
        <f t="shared" si="6"/>
        <v>8.5110339822318525E-6</v>
      </c>
      <c r="F43" s="27" t="s">
        <v>53</v>
      </c>
      <c r="G43" s="27">
        <v>0.99363082930679103</v>
      </c>
      <c r="H43" s="27">
        <v>1</v>
      </c>
    </row>
    <row r="44" spans="1:8">
      <c r="A44" s="30">
        <v>120</v>
      </c>
      <c r="B44">
        <f t="shared" si="4"/>
        <v>1.449727822979624E-2</v>
      </c>
      <c r="C44">
        <f t="shared" si="5"/>
        <v>1.6026112535918662E-2</v>
      </c>
      <c r="D44">
        <f t="shared" si="6"/>
        <v>2.3373343355768284E-6</v>
      </c>
      <c r="F44" s="28"/>
      <c r="G44" s="28"/>
    </row>
    <row r="45" spans="1:8">
      <c r="A45" s="30">
        <v>180</v>
      </c>
      <c r="B45">
        <f t="shared" si="4"/>
        <v>2.5219900047888544E-2</v>
      </c>
      <c r="C45">
        <f t="shared" si="5"/>
        <v>2.4039168803877995E-2</v>
      </c>
      <c r="D45">
        <f t="shared" si="6"/>
        <v>1.394126270582698E-6</v>
      </c>
      <c r="F45" s="28"/>
      <c r="G45" s="28"/>
    </row>
    <row r="46" spans="1:8">
      <c r="A46" s="30">
        <v>360</v>
      </c>
      <c r="B46">
        <f t="shared" si="4"/>
        <v>5.1080025416585684E-2</v>
      </c>
      <c r="C46">
        <f t="shared" si="5"/>
        <v>4.807833760775599E-2</v>
      </c>
      <c r="D46">
        <f t="shared" si="6"/>
        <v>9.0101297016768077E-6</v>
      </c>
      <c r="F46" s="28"/>
      <c r="G46" s="28"/>
    </row>
    <row r="47" spans="1:8">
      <c r="F47" s="28"/>
      <c r="G47" s="28"/>
    </row>
    <row r="48" spans="1:8" ht="17" thickBot="1">
      <c r="F48" s="27"/>
      <c r="G48" s="27"/>
    </row>
    <row r="50" spans="1:11" ht="17" thickBot="1"/>
    <row r="51" spans="1:11" ht="17" thickBot="1">
      <c r="A51" s="37" t="s">
        <v>75</v>
      </c>
      <c r="C51" t="s">
        <v>76</v>
      </c>
      <c r="H51" s="29"/>
      <c r="I51" s="29"/>
      <c r="J51" s="29"/>
      <c r="K51" s="29"/>
    </row>
    <row r="52" spans="1:11">
      <c r="A52" t="s">
        <v>60</v>
      </c>
      <c r="B52" t="s">
        <v>65</v>
      </c>
      <c r="C52" t="s">
        <v>64</v>
      </c>
      <c r="D52" t="s">
        <v>69</v>
      </c>
      <c r="F52" s="29"/>
      <c r="G52" s="29"/>
      <c r="H52" s="28"/>
      <c r="I52" s="28"/>
      <c r="J52" s="28"/>
      <c r="K52" s="28"/>
    </row>
    <row r="53" spans="1:11">
      <c r="A53" s="7">
        <v>0</v>
      </c>
      <c r="B53" s="4">
        <f>(2.5)^(1/3)-(2.5/100*(100-B3))^(1/3)</f>
        <v>0</v>
      </c>
      <c r="C53">
        <f>$G$53*A53</f>
        <v>0</v>
      </c>
      <c r="D53" s="34">
        <f t="shared" ref="D53:D63" si="7">(B53-C53)^2</f>
        <v>0</v>
      </c>
      <c r="F53" s="28" t="s">
        <v>57</v>
      </c>
      <c r="G53" s="28">
        <v>8.6596325613633824E-4</v>
      </c>
      <c r="H53" s="28"/>
      <c r="I53" s="28"/>
      <c r="J53" s="28"/>
      <c r="K53" s="28"/>
    </row>
    <row r="54" spans="1:11" ht="17" thickBot="1">
      <c r="A54" s="7">
        <v>5</v>
      </c>
      <c r="B54" s="4">
        <f t="shared" ref="B54:B63" si="8">(2.5)^(1/3)-(2.5/100*(100-B4))^(1/3)</f>
        <v>0</v>
      </c>
      <c r="C54">
        <f t="shared" ref="C54:C63" si="9">$G$53*A54</f>
        <v>4.3298162806816917E-3</v>
      </c>
      <c r="D54" s="34">
        <f t="shared" si="7"/>
        <v>1.8747309024456237E-5</v>
      </c>
      <c r="F54" s="28" t="s">
        <v>56</v>
      </c>
      <c r="G54" s="28"/>
      <c r="H54" s="27"/>
      <c r="I54" s="27"/>
      <c r="J54" s="27"/>
      <c r="K54" s="27"/>
    </row>
    <row r="55" spans="1:11" ht="17" thickBot="1">
      <c r="A55" s="7">
        <v>15</v>
      </c>
      <c r="B55" s="4">
        <f t="shared" si="8"/>
        <v>1.2444294437469416E-2</v>
      </c>
      <c r="C55">
        <f t="shared" si="9"/>
        <v>1.2989448842045073E-2</v>
      </c>
      <c r="D55" s="34">
        <f t="shared" si="7"/>
        <v>2.9719332482823889E-7</v>
      </c>
      <c r="F55" s="27"/>
      <c r="G55" s="27"/>
    </row>
    <row r="56" spans="1:11">
      <c r="A56" s="7">
        <v>30</v>
      </c>
      <c r="B56" s="4">
        <f t="shared" si="8"/>
        <v>2.9710489435427867E-2</v>
      </c>
      <c r="C56">
        <f t="shared" si="9"/>
        <v>2.5978897684090146E-2</v>
      </c>
      <c r="D56" s="34">
        <f t="shared" si="7"/>
        <v>1.3924776998651716E-5</v>
      </c>
      <c r="F56" t="s">
        <v>55</v>
      </c>
      <c r="G56" s="34">
        <f>SUM(D53:D63)</f>
        <v>5.8482872747087408E-3</v>
      </c>
    </row>
    <row r="57" spans="1:11">
      <c r="A57" s="7">
        <v>45</v>
      </c>
      <c r="B57" s="4">
        <f t="shared" si="8"/>
        <v>4.6223127892438765E-2</v>
      </c>
      <c r="C57">
        <f t="shared" si="9"/>
        <v>3.896834652613522E-2</v>
      </c>
      <c r="D57" s="34">
        <f t="shared" si="7"/>
        <v>5.2631852672865127E-5</v>
      </c>
    </row>
    <row r="58" spans="1:11" ht="17" thickBot="1">
      <c r="A58" s="7">
        <v>60</v>
      </c>
      <c r="B58" s="4">
        <f t="shared" si="8"/>
        <v>7.0026856403804683E-2</v>
      </c>
      <c r="C58">
        <f t="shared" si="9"/>
        <v>5.1957795368180293E-2</v>
      </c>
      <c r="D58" s="34">
        <f t="shared" si="7"/>
        <v>3.2649096670911952E-4</v>
      </c>
    </row>
    <row r="59" spans="1:11">
      <c r="A59" s="7">
        <v>75</v>
      </c>
      <c r="B59" s="4">
        <f t="shared" si="8"/>
        <v>9.0493936316667467E-2</v>
      </c>
      <c r="C59">
        <f t="shared" si="9"/>
        <v>6.4947244210225366E-2</v>
      </c>
      <c r="D59" s="34">
        <f t="shared" si="7"/>
        <v>6.526334775813511E-4</v>
      </c>
      <c r="F59" s="29"/>
      <c r="G59" s="29" t="s">
        <v>54</v>
      </c>
      <c r="H59" s="29" t="s">
        <v>53</v>
      </c>
    </row>
    <row r="60" spans="1:11">
      <c r="A60" s="7">
        <v>90</v>
      </c>
      <c r="B60" s="4">
        <f t="shared" si="8"/>
        <v>0.10866405983729521</v>
      </c>
      <c r="C60">
        <f t="shared" si="9"/>
        <v>7.7936693052270439E-2</v>
      </c>
      <c r="D60" s="34">
        <f t="shared" si="7"/>
        <v>9.4417106954144373E-4</v>
      </c>
      <c r="F60" s="28" t="s">
        <v>54</v>
      </c>
      <c r="G60" s="28">
        <v>1</v>
      </c>
      <c r="H60" s="28"/>
    </row>
    <row r="61" spans="1:11" ht="17" thickBot="1">
      <c r="A61" s="7">
        <v>120</v>
      </c>
      <c r="B61" s="4">
        <f t="shared" si="8"/>
        <v>0.13820044598737335</v>
      </c>
      <c r="C61">
        <f t="shared" si="9"/>
        <v>0.10391559073636059</v>
      </c>
      <c r="D61" s="34">
        <f t="shared" si="7"/>
        <v>1.1754512995828979E-3</v>
      </c>
      <c r="F61" s="27" t="s">
        <v>53</v>
      </c>
      <c r="G61" s="27">
        <v>0.97023894952345402</v>
      </c>
      <c r="H61" s="27">
        <v>1</v>
      </c>
    </row>
    <row r="62" spans="1:11">
      <c r="A62" s="7">
        <v>180</v>
      </c>
      <c r="B62" s="4">
        <f t="shared" si="8"/>
        <v>0.18454711526221801</v>
      </c>
      <c r="C62">
        <f t="shared" si="9"/>
        <v>0.15587338610454088</v>
      </c>
      <c r="D62" s="34">
        <f t="shared" si="7"/>
        <v>8.2218274380782368E-4</v>
      </c>
    </row>
    <row r="63" spans="1:11">
      <c r="A63" s="6">
        <v>360</v>
      </c>
      <c r="B63" s="4">
        <f t="shared" si="8"/>
        <v>0.26883108060955951</v>
      </c>
      <c r="C63">
        <f t="shared" si="9"/>
        <v>0.31174677220908176</v>
      </c>
      <c r="D63" s="34">
        <f t="shared" si="7"/>
        <v>1.841756585465304E-3</v>
      </c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57DC3-99B2-0843-BD1A-C59173D3E180}">
  <dimension ref="A1:K80"/>
  <sheetViews>
    <sheetView topLeftCell="A39" workbookViewId="0">
      <selection activeCell="G79" sqref="G79"/>
    </sheetView>
  </sheetViews>
  <sheetFormatPr baseColWidth="10" defaultRowHeight="16"/>
  <cols>
    <col min="1" max="1" width="12.6640625" customWidth="1"/>
    <col min="3" max="3" width="12.6640625" customWidth="1"/>
  </cols>
  <sheetData>
    <row r="1" spans="1:8" ht="21">
      <c r="A1" s="35" t="s">
        <v>73</v>
      </c>
      <c r="B1" s="32" t="s">
        <v>71</v>
      </c>
      <c r="E1" s="33" t="s">
        <v>70</v>
      </c>
    </row>
    <row r="2" spans="1:8">
      <c r="A2" t="s">
        <v>60</v>
      </c>
      <c r="B2" t="s">
        <v>65</v>
      </c>
      <c r="C2" t="s">
        <v>64</v>
      </c>
      <c r="D2" t="s">
        <v>69</v>
      </c>
    </row>
    <row r="3" spans="1:8">
      <c r="A3" s="7">
        <v>0</v>
      </c>
      <c r="B3" s="4">
        <v>0</v>
      </c>
      <c r="C3">
        <f t="shared" ref="C3:C13" si="0">$G$3*(A3^$G$4)</f>
        <v>0</v>
      </c>
      <c r="D3" s="34">
        <f t="shared" ref="D3:D13" si="1">(B3-C3)^2</f>
        <v>0</v>
      </c>
      <c r="F3" t="s">
        <v>57</v>
      </c>
      <c r="G3">
        <v>1.6427353851963269</v>
      </c>
    </row>
    <row r="4" spans="1:8">
      <c r="A4" s="7">
        <v>5</v>
      </c>
      <c r="B4" s="4">
        <v>0</v>
      </c>
      <c r="C4">
        <f t="shared" si="0"/>
        <v>3.7357189146334373</v>
      </c>
      <c r="D4" s="34">
        <f t="shared" si="1"/>
        <v>13.955595809150028</v>
      </c>
      <c r="F4" t="s">
        <v>63</v>
      </c>
      <c r="G4">
        <v>0.51047480862589978</v>
      </c>
    </row>
    <row r="5" spans="1:8" ht="17" thickBot="1">
      <c r="A5" s="7">
        <v>15</v>
      </c>
      <c r="B5" s="4">
        <v>0</v>
      </c>
      <c r="C5">
        <f t="shared" si="0"/>
        <v>6.5453454476954578</v>
      </c>
      <c r="D5" s="34">
        <f t="shared" si="1"/>
        <v>42.841547029667652</v>
      </c>
      <c r="F5" t="s">
        <v>56</v>
      </c>
      <c r="G5" s="27">
        <v>0.93872278353272898</v>
      </c>
    </row>
    <row r="6" spans="1:8">
      <c r="A6" s="7">
        <v>30</v>
      </c>
      <c r="B6" s="4">
        <v>8.6054036514129013</v>
      </c>
      <c r="C6">
        <f t="shared" si="0"/>
        <v>9.3239685925131379</v>
      </c>
      <c r="D6" s="34">
        <f t="shared" si="1"/>
        <v>0.51633557457838652</v>
      </c>
    </row>
    <row r="7" spans="1:8">
      <c r="A7" s="7">
        <v>45</v>
      </c>
      <c r="B7" s="4">
        <v>8.6620281865927655</v>
      </c>
      <c r="C7">
        <f t="shared" si="0"/>
        <v>11.468086333222269</v>
      </c>
      <c r="D7" s="34">
        <f t="shared" si="1"/>
        <v>7.8739623222658031</v>
      </c>
      <c r="F7" t="s">
        <v>55</v>
      </c>
      <c r="G7" s="34">
        <f>SUM(D3:D13)</f>
        <v>143.57582571530907</v>
      </c>
    </row>
    <row r="8" spans="1:8" ht="17" thickBot="1">
      <c r="A8" s="7">
        <v>60</v>
      </c>
      <c r="B8" s="4">
        <v>15.003905389426345</v>
      </c>
      <c r="C8">
        <f t="shared" si="0"/>
        <v>13.282169903619181</v>
      </c>
      <c r="D8" s="34">
        <f t="shared" si="1"/>
        <v>2.9643730830876311</v>
      </c>
    </row>
    <row r="9" spans="1:8">
      <c r="A9" s="7">
        <v>75</v>
      </c>
      <c r="B9" s="4">
        <v>15.251244253986286</v>
      </c>
      <c r="C9">
        <f t="shared" si="0"/>
        <v>14.884667982508647</v>
      </c>
      <c r="D9" s="34">
        <f t="shared" si="1"/>
        <v>0.13437816281044757</v>
      </c>
      <c r="F9" s="29"/>
      <c r="G9" s="29" t="s">
        <v>54</v>
      </c>
      <c r="H9" s="29" t="s">
        <v>53</v>
      </c>
    </row>
    <row r="10" spans="1:8">
      <c r="A10" s="7">
        <v>90</v>
      </c>
      <c r="B10" s="4">
        <v>20.615819234271537</v>
      </c>
      <c r="C10">
        <f t="shared" si="0"/>
        <v>16.336506245799718</v>
      </c>
      <c r="D10" s="34">
        <f t="shared" si="1"/>
        <v>18.31251965330361</v>
      </c>
      <c r="F10" s="28" t="s">
        <v>54</v>
      </c>
      <c r="G10" s="28">
        <v>1</v>
      </c>
      <c r="H10" s="28"/>
    </row>
    <row r="11" spans="1:8" ht="17" thickBot="1">
      <c r="A11" s="7">
        <v>120</v>
      </c>
      <c r="B11" s="4">
        <v>21.396755594427134</v>
      </c>
      <c r="C11">
        <f t="shared" si="0"/>
        <v>18.920702659837769</v>
      </c>
      <c r="D11" s="34">
        <f t="shared" si="1"/>
        <v>6.1308381348886067</v>
      </c>
      <c r="F11" s="27" t="s">
        <v>53</v>
      </c>
      <c r="G11" s="27">
        <v>0.93872278353272898</v>
      </c>
      <c r="H11" s="27">
        <v>1</v>
      </c>
    </row>
    <row r="12" spans="1:8">
      <c r="A12" s="7">
        <v>180</v>
      </c>
      <c r="B12" s="4">
        <v>28.320967920626391</v>
      </c>
      <c r="C12">
        <f t="shared" si="0"/>
        <v>23.271662644003271</v>
      </c>
      <c r="D12" s="34">
        <f t="shared" si="1"/>
        <v>25.495483776534076</v>
      </c>
    </row>
    <row r="13" spans="1:8">
      <c r="A13" s="6">
        <v>360</v>
      </c>
      <c r="B13" s="4">
        <v>28.115967302931068</v>
      </c>
      <c r="C13">
        <f t="shared" si="0"/>
        <v>33.150924320525441</v>
      </c>
      <c r="D13" s="34">
        <f t="shared" si="1"/>
        <v>25.350792169022817</v>
      </c>
    </row>
    <row r="18" spans="1:8">
      <c r="B18" s="32" t="s">
        <v>68</v>
      </c>
      <c r="E18" s="33" t="s">
        <v>67</v>
      </c>
      <c r="F18" s="31" t="s">
        <v>66</v>
      </c>
    </row>
    <row r="19" spans="1:8">
      <c r="A19" t="s">
        <v>60</v>
      </c>
      <c r="B19" t="s">
        <v>65</v>
      </c>
      <c r="C19" t="s">
        <v>64</v>
      </c>
      <c r="D19" t="s">
        <v>0</v>
      </c>
    </row>
    <row r="20" spans="1:8">
      <c r="A20">
        <v>0</v>
      </c>
      <c r="B20" s="4">
        <v>0</v>
      </c>
      <c r="C20">
        <f>1- (1-$G$20*A20)^$G$21</f>
        <v>0</v>
      </c>
      <c r="D20">
        <f t="shared" ref="D20:D30" si="2">(B20-C20)^2</f>
        <v>0</v>
      </c>
      <c r="F20" s="31" t="s">
        <v>57</v>
      </c>
      <c r="G20">
        <v>1.1290569804365443E-2</v>
      </c>
    </row>
    <row r="21" spans="1:8">
      <c r="A21">
        <v>5</v>
      </c>
      <c r="B21" s="4">
        <v>0</v>
      </c>
      <c r="C21">
        <f t="shared" ref="C21:C30" si="3">1- (1-$G$20*A21)^$G$21</f>
        <v>0.15997768552603797</v>
      </c>
      <c r="D21">
        <f t="shared" si="2"/>
        <v>2.55928598662679E-2</v>
      </c>
      <c r="F21" t="s">
        <v>63</v>
      </c>
      <c r="G21">
        <v>3</v>
      </c>
    </row>
    <row r="22" spans="1:8">
      <c r="A22">
        <v>15</v>
      </c>
      <c r="B22" s="4">
        <v>0</v>
      </c>
      <c r="C22">
        <f t="shared" si="3"/>
        <v>0.42688628441624832</v>
      </c>
      <c r="D22">
        <f t="shared" si="2"/>
        <v>0.18223189982271004</v>
      </c>
      <c r="F22" t="s">
        <v>56</v>
      </c>
    </row>
    <row r="23" spans="1:8">
      <c r="A23">
        <v>30</v>
      </c>
      <c r="B23" s="4">
        <v>8.6054036514129013</v>
      </c>
      <c r="C23">
        <f t="shared" si="3"/>
        <v>0.71082423772088721</v>
      </c>
      <c r="D23">
        <f t="shared" si="2"/>
        <v>62.32438411908975</v>
      </c>
    </row>
    <row r="24" spans="1:8">
      <c r="A24">
        <v>45</v>
      </c>
      <c r="B24" s="4">
        <v>8.6620281865927655</v>
      </c>
      <c r="C24">
        <f t="shared" si="3"/>
        <v>0.88095943358709372</v>
      </c>
      <c r="D24">
        <f t="shared" si="2"/>
        <v>60.545030939001236</v>
      </c>
      <c r="F24" t="s">
        <v>55</v>
      </c>
      <c r="G24">
        <f>SUM(D20:D30)</f>
        <v>2012.6266644107177</v>
      </c>
    </row>
    <row r="25" spans="1:8" ht="17" thickBot="1">
      <c r="A25">
        <v>60</v>
      </c>
      <c r="B25" s="4">
        <v>15.003905389426345</v>
      </c>
      <c r="C25">
        <f t="shared" si="3"/>
        <v>0.96643744568804457</v>
      </c>
      <c r="D25">
        <f t="shared" si="2"/>
        <v>197.0505062714804</v>
      </c>
    </row>
    <row r="26" spans="1:8">
      <c r="A26">
        <v>75</v>
      </c>
      <c r="B26" s="4">
        <v>15.251244253986286</v>
      </c>
      <c r="C26">
        <f t="shared" si="3"/>
        <v>0.99640384769691626</v>
      </c>
      <c r="D26">
        <f t="shared" si="2"/>
        <v>203.20047500878007</v>
      </c>
      <c r="F26" s="29"/>
      <c r="G26" s="29" t="s">
        <v>54</v>
      </c>
      <c r="H26" s="29" t="s">
        <v>53</v>
      </c>
    </row>
    <row r="27" spans="1:8">
      <c r="A27">
        <v>90</v>
      </c>
      <c r="B27" s="4">
        <v>20.615819234271537</v>
      </c>
      <c r="C27">
        <f t="shared" si="3"/>
        <v>1.0000042132868854</v>
      </c>
      <c r="D27">
        <f t="shared" si="2"/>
        <v>384.78019893748711</v>
      </c>
      <c r="F27" s="28" t="s">
        <v>54</v>
      </c>
      <c r="G27" s="28">
        <v>1</v>
      </c>
      <c r="H27" s="28"/>
    </row>
    <row r="28" spans="1:8" ht="17" thickBot="1">
      <c r="A28">
        <v>120</v>
      </c>
      <c r="B28" s="4">
        <v>21.396755594427134</v>
      </c>
      <c r="C28">
        <f t="shared" si="3"/>
        <v>1.0446891299028229</v>
      </c>
      <c r="D28">
        <f t="shared" si="2"/>
        <v>414.20660937641503</v>
      </c>
      <c r="F28" s="27" t="s">
        <v>53</v>
      </c>
      <c r="G28" s="27">
        <v>0.51072555829761612</v>
      </c>
      <c r="H28" s="27">
        <v>1</v>
      </c>
    </row>
    <row r="29" spans="1:8">
      <c r="A29">
        <v>180</v>
      </c>
      <c r="B29" s="4">
        <v>28.320967920626391</v>
      </c>
      <c r="C29">
        <f t="shared" si="3"/>
        <v>2.1000717677276404</v>
      </c>
      <c r="D29">
        <f t="shared" si="2"/>
        <v>687.53539506110042</v>
      </c>
    </row>
    <row r="30" spans="1:8">
      <c r="A30">
        <v>360</v>
      </c>
      <c r="B30" s="4">
        <v>28.115967302931068</v>
      </c>
      <c r="C30">
        <f t="shared" si="3"/>
        <v>29.782172553695386</v>
      </c>
      <c r="D30">
        <f t="shared" si="2"/>
        <v>2.7762399376745819</v>
      </c>
    </row>
    <row r="34" spans="1:8">
      <c r="B34" s="32" t="s">
        <v>62</v>
      </c>
      <c r="D34" s="31" t="s">
        <v>61</v>
      </c>
    </row>
    <row r="35" spans="1:8">
      <c r="A35" t="s">
        <v>60</v>
      </c>
      <c r="B35" t="s">
        <v>59</v>
      </c>
      <c r="C35" t="s">
        <v>58</v>
      </c>
      <c r="D35" t="s">
        <v>0</v>
      </c>
    </row>
    <row r="36" spans="1:8">
      <c r="A36" s="30">
        <v>0</v>
      </c>
      <c r="B36">
        <f t="shared" ref="B36:B46" si="4">3/2*(1-(1-B20/100)^(2/3))-B20/100</f>
        <v>0</v>
      </c>
      <c r="C36">
        <f t="shared" ref="C36:C46" si="5">$G$36*A36</f>
        <v>0</v>
      </c>
      <c r="D36">
        <f t="shared" ref="D36:D46" si="6">(B36-C36)^2</f>
        <v>0</v>
      </c>
      <c r="F36" t="s">
        <v>57</v>
      </c>
      <c r="G36">
        <v>7.6398985593548137E-5</v>
      </c>
    </row>
    <row r="37" spans="1:8" ht="17" thickBot="1">
      <c r="A37" s="30">
        <v>5</v>
      </c>
      <c r="B37">
        <f t="shared" si="4"/>
        <v>0</v>
      </c>
      <c r="C37">
        <f t="shared" si="5"/>
        <v>3.8199492796774071E-4</v>
      </c>
      <c r="D37">
        <f t="shared" si="6"/>
        <v>1.4592012499307943E-7</v>
      </c>
      <c r="F37" t="s">
        <v>56</v>
      </c>
      <c r="G37" s="27">
        <v>0.90238640104395584</v>
      </c>
    </row>
    <row r="38" spans="1:8">
      <c r="A38" s="30">
        <v>15</v>
      </c>
      <c r="B38">
        <f t="shared" si="4"/>
        <v>0</v>
      </c>
      <c r="C38">
        <f t="shared" si="5"/>
        <v>1.1459847839032221E-3</v>
      </c>
      <c r="D38">
        <f t="shared" si="6"/>
        <v>1.3132811249377147E-6</v>
      </c>
    </row>
    <row r="39" spans="1:8">
      <c r="A39" s="30">
        <v>30</v>
      </c>
      <c r="B39">
        <f t="shared" si="4"/>
        <v>1.2839348722551991E-3</v>
      </c>
      <c r="C39">
        <f t="shared" si="5"/>
        <v>2.2919695678064443E-3</v>
      </c>
      <c r="D39">
        <f t="shared" si="6"/>
        <v>1.0161339474350915E-6</v>
      </c>
      <c r="F39" t="s">
        <v>55</v>
      </c>
      <c r="G39">
        <f>SUM(D36:D45)</f>
        <v>1.3894321012089121E-5</v>
      </c>
    </row>
    <row r="40" spans="1:8" ht="17" thickBot="1">
      <c r="A40" s="30">
        <v>45</v>
      </c>
      <c r="B40">
        <f t="shared" si="4"/>
        <v>1.3012367331452779E-3</v>
      </c>
      <c r="C40">
        <f t="shared" si="5"/>
        <v>3.4379543517096662E-3</v>
      </c>
      <c r="D40">
        <f t="shared" si="6"/>
        <v>4.565562181483471E-6</v>
      </c>
    </row>
    <row r="41" spans="1:8">
      <c r="A41" s="30">
        <v>60</v>
      </c>
      <c r="B41">
        <f t="shared" si="4"/>
        <v>4.0265045643928243E-3</v>
      </c>
      <c r="C41">
        <f t="shared" si="5"/>
        <v>4.5839391356128885E-3</v>
      </c>
      <c r="D41">
        <f t="shared" si="6"/>
        <v>3.1073330119129682E-7</v>
      </c>
      <c r="F41" s="29"/>
      <c r="G41" s="29" t="s">
        <v>54</v>
      </c>
      <c r="H41" s="29" t="s">
        <v>53</v>
      </c>
    </row>
    <row r="42" spans="1:8">
      <c r="A42" s="30">
        <v>75</v>
      </c>
      <c r="B42">
        <f t="shared" si="4"/>
        <v>4.1654991881835413E-3</v>
      </c>
      <c r="C42">
        <f t="shared" si="5"/>
        <v>5.7299239195161104E-3</v>
      </c>
      <c r="D42">
        <f t="shared" si="6"/>
        <v>2.4474247400049814E-6</v>
      </c>
      <c r="F42" s="28" t="s">
        <v>54</v>
      </c>
      <c r="G42" s="28">
        <v>1</v>
      </c>
      <c r="H42" s="28"/>
    </row>
    <row r="43" spans="1:8" ht="17" thickBot="1">
      <c r="A43" s="30">
        <v>90</v>
      </c>
      <c r="B43">
        <f t="shared" si="4"/>
        <v>7.8232452572776223E-3</v>
      </c>
      <c r="C43">
        <f t="shared" si="5"/>
        <v>6.8759087034193324E-3</v>
      </c>
      <c r="D43">
        <f t="shared" si="6"/>
        <v>8.9744654627610071E-7</v>
      </c>
      <c r="F43" s="27" t="s">
        <v>53</v>
      </c>
      <c r="G43" s="27">
        <v>0.90238640104395584</v>
      </c>
      <c r="H43" s="27">
        <v>1</v>
      </c>
    </row>
    <row r="44" spans="1:8">
      <c r="A44" s="30">
        <v>120</v>
      </c>
      <c r="B44">
        <f t="shared" si="4"/>
        <v>8.4618495517120029E-3</v>
      </c>
      <c r="C44">
        <f t="shared" si="5"/>
        <v>9.167878271225777E-3</v>
      </c>
      <c r="D44">
        <f t="shared" si="6"/>
        <v>4.9847655277825952E-7</v>
      </c>
      <c r="F44" s="28"/>
      <c r="G44" s="28"/>
    </row>
    <row r="45" spans="1:8">
      <c r="A45" s="30">
        <v>180</v>
      </c>
      <c r="B45">
        <f t="shared" si="4"/>
        <v>1.5394784994160193E-2</v>
      </c>
      <c r="C45">
        <f t="shared" si="5"/>
        <v>1.3751817406838665E-2</v>
      </c>
      <c r="D45">
        <f t="shared" si="6"/>
        <v>2.6993424929891245E-6</v>
      </c>
      <c r="F45" s="28"/>
      <c r="G45" s="28"/>
    </row>
    <row r="46" spans="1:8">
      <c r="A46" s="36">
        <v>360</v>
      </c>
      <c r="B46">
        <f t="shared" si="4"/>
        <v>1.5155236630947921E-2</v>
      </c>
      <c r="C46">
        <f t="shared" si="5"/>
        <v>2.7503634813677329E-2</v>
      </c>
      <c r="D46">
        <f t="shared" si="6"/>
        <v>1.5248293767923494E-4</v>
      </c>
      <c r="F46" s="28"/>
      <c r="G46" s="28"/>
    </row>
    <row r="47" spans="1:8">
      <c r="F47" s="28"/>
      <c r="G47" s="28"/>
    </row>
    <row r="48" spans="1:8" ht="17" thickBot="1">
      <c r="F48" s="27"/>
      <c r="G48" s="27"/>
    </row>
    <row r="50" spans="1:11" ht="17" thickBot="1">
      <c r="A50" s="37" t="s">
        <v>75</v>
      </c>
      <c r="C50" t="s">
        <v>76</v>
      </c>
    </row>
    <row r="51" spans="1:11">
      <c r="A51" t="s">
        <v>60</v>
      </c>
      <c r="B51" t="s">
        <v>65</v>
      </c>
      <c r="C51" t="s">
        <v>64</v>
      </c>
      <c r="D51" t="s">
        <v>69</v>
      </c>
      <c r="F51" s="29"/>
      <c r="G51" s="29"/>
      <c r="H51" s="29"/>
      <c r="I51" s="29"/>
      <c r="J51" s="29"/>
      <c r="K51" s="29"/>
    </row>
    <row r="52" spans="1:11">
      <c r="A52" s="7">
        <v>0</v>
      </c>
      <c r="B52" s="4">
        <f>(2.5)^(1/3)-(2.5/100*(100-B3))^(1/3)</f>
        <v>0</v>
      </c>
      <c r="C52">
        <f>$G$52*A52</f>
        <v>0</v>
      </c>
      <c r="D52" s="34">
        <f t="shared" ref="D52:D62" si="7">(B52-C52)^2</f>
        <v>0</v>
      </c>
      <c r="F52" s="28" t="s">
        <v>57</v>
      </c>
      <c r="G52" s="28">
        <v>8.9226463607016435E-4</v>
      </c>
      <c r="H52" s="28"/>
      <c r="I52" s="28"/>
      <c r="J52" s="28"/>
      <c r="K52" s="28"/>
    </row>
    <row r="53" spans="1:11">
      <c r="A53" s="7">
        <v>5</v>
      </c>
      <c r="B53" s="4">
        <f t="shared" ref="B53:B62" si="8">(2.5)^(1/3)-(2.5/100*(100-B4))^(1/3)</f>
        <v>0</v>
      </c>
      <c r="C53">
        <f t="shared" ref="C53:C62" si="9">$G$52*A53</f>
        <v>4.4613231803508216E-3</v>
      </c>
      <c r="D53" s="34">
        <f t="shared" si="7"/>
        <v>1.990340451953557E-5</v>
      </c>
      <c r="F53" s="28" t="s">
        <v>56</v>
      </c>
      <c r="G53" s="28"/>
      <c r="H53" s="28"/>
      <c r="I53" s="28"/>
      <c r="J53" s="28"/>
      <c r="K53" s="28"/>
    </row>
    <row r="54" spans="1:11" ht="17" thickBot="1">
      <c r="A54" s="7">
        <v>15</v>
      </c>
      <c r="B54" s="4">
        <f t="shared" si="8"/>
        <v>0</v>
      </c>
      <c r="C54">
        <f t="shared" si="9"/>
        <v>1.3383969541052466E-2</v>
      </c>
      <c r="D54" s="34">
        <f t="shared" si="7"/>
        <v>1.7913064067582015E-4</v>
      </c>
      <c r="F54" s="27"/>
      <c r="G54" s="27"/>
      <c r="H54" s="27"/>
      <c r="I54" s="27"/>
      <c r="J54" s="27"/>
      <c r="K54" s="27"/>
    </row>
    <row r="55" spans="1:11">
      <c r="A55" s="7">
        <v>30</v>
      </c>
      <c r="B55" s="4">
        <f t="shared" si="8"/>
        <v>4.0104483101990551E-2</v>
      </c>
      <c r="C55">
        <f t="shared" si="9"/>
        <v>2.6767939082104932E-2</v>
      </c>
      <c r="D55" s="34">
        <f t="shared" si="7"/>
        <v>1.7786340639434689E-4</v>
      </c>
      <c r="F55" t="s">
        <v>55</v>
      </c>
      <c r="G55" s="34">
        <f>SUM(D52:D61)</f>
        <v>1.4777156170653063E-3</v>
      </c>
    </row>
    <row r="56" spans="1:11">
      <c r="A56" s="7">
        <v>45</v>
      </c>
      <c r="B56" s="4">
        <f t="shared" si="8"/>
        <v>4.0376548157828429E-2</v>
      </c>
      <c r="C56">
        <f t="shared" si="9"/>
        <v>4.0151908623157394E-2</v>
      </c>
      <c r="D56" s="34">
        <f t="shared" si="7"/>
        <v>5.0462920537219279E-8</v>
      </c>
    </row>
    <row r="57" spans="1:11">
      <c r="A57" s="7">
        <v>60</v>
      </c>
      <c r="B57" s="4">
        <f t="shared" si="8"/>
        <v>7.158770318349994E-2</v>
      </c>
      <c r="C57">
        <f t="shared" si="9"/>
        <v>5.3535878164209863E-2</v>
      </c>
      <c r="D57" s="34">
        <f t="shared" si="7"/>
        <v>3.2586838652706718E-4</v>
      </c>
    </row>
    <row r="58" spans="1:11" ht="17" thickBot="1">
      <c r="A58" s="7">
        <v>75</v>
      </c>
      <c r="B58" s="4">
        <f t="shared" si="8"/>
        <v>7.2835968413811347E-2</v>
      </c>
      <c r="C58">
        <f t="shared" si="9"/>
        <v>6.6919847705262325E-2</v>
      </c>
      <c r="D58" s="34">
        <f t="shared" si="7"/>
        <v>3.5000484238122579E-5</v>
      </c>
    </row>
    <row r="59" spans="1:11">
      <c r="A59" s="7">
        <v>90</v>
      </c>
      <c r="B59" s="4">
        <f t="shared" si="8"/>
        <v>0.10052893767037752</v>
      </c>
      <c r="C59">
        <f t="shared" si="9"/>
        <v>8.0303817246314788E-2</v>
      </c>
      <c r="D59" s="34">
        <f t="shared" si="7"/>
        <v>4.0905549616783931E-4</v>
      </c>
      <c r="F59" s="29"/>
      <c r="G59" s="29" t="s">
        <v>54</v>
      </c>
      <c r="H59" s="29" t="s">
        <v>53</v>
      </c>
    </row>
    <row r="60" spans="1:11">
      <c r="A60" s="7">
        <v>120</v>
      </c>
      <c r="B60" s="4">
        <f t="shared" si="8"/>
        <v>0.1046633584381782</v>
      </c>
      <c r="C60">
        <f t="shared" si="9"/>
        <v>0.10707175632841973</v>
      </c>
      <c r="D60" s="34">
        <f t="shared" si="7"/>
        <v>5.8003803977198335E-6</v>
      </c>
      <c r="F60" s="28" t="s">
        <v>54</v>
      </c>
      <c r="G60" s="28">
        <v>1</v>
      </c>
      <c r="H60" s="28"/>
    </row>
    <row r="61" spans="1:11" ht="17" thickBot="1">
      <c r="A61" s="7">
        <v>180</v>
      </c>
      <c r="B61" s="4">
        <f t="shared" si="8"/>
        <v>0.14257868679110475</v>
      </c>
      <c r="C61">
        <f t="shared" si="9"/>
        <v>0.16060763449262958</v>
      </c>
      <c r="D61" s="34">
        <f t="shared" si="7"/>
        <v>3.2504295522431739E-4</v>
      </c>
      <c r="F61" s="27" t="s">
        <v>53</v>
      </c>
      <c r="G61" s="27">
        <v>0.96829384539521179</v>
      </c>
      <c r="H61" s="27">
        <v>1</v>
      </c>
    </row>
    <row r="62" spans="1:11">
      <c r="A62" s="6">
        <v>360</v>
      </c>
      <c r="B62" s="4">
        <f t="shared" si="8"/>
        <v>0.14142184953981984</v>
      </c>
      <c r="C62">
        <f t="shared" si="9"/>
        <v>0.32121526898525915</v>
      </c>
      <c r="D62" s="34">
        <f t="shared" si="7"/>
        <v>3.2325673675883675E-2</v>
      </c>
    </row>
    <row r="68" spans="1:8">
      <c r="A68" t="s">
        <v>81</v>
      </c>
    </row>
    <row r="69" spans="1:8">
      <c r="A69" t="s">
        <v>60</v>
      </c>
      <c r="B69" t="s">
        <v>65</v>
      </c>
      <c r="C69" t="s">
        <v>64</v>
      </c>
      <c r="D69" t="s">
        <v>69</v>
      </c>
    </row>
    <row r="70" spans="1:8">
      <c r="A70" s="7">
        <v>0</v>
      </c>
      <c r="B70" s="4">
        <v>0</v>
      </c>
      <c r="C70">
        <f>$G$70*(A70^$G$72)+$G$71*(A70^(2*$G$72))</f>
        <v>0</v>
      </c>
      <c r="D70" s="34">
        <f t="shared" ref="D70:D80" si="10">(B70-C70)^2</f>
        <v>0</v>
      </c>
      <c r="F70" t="s">
        <v>82</v>
      </c>
      <c r="G70">
        <v>2.135417831890202</v>
      </c>
    </row>
    <row r="71" spans="1:8">
      <c r="A71" s="7">
        <v>5</v>
      </c>
      <c r="B71" s="4">
        <v>0</v>
      </c>
      <c r="C71">
        <f t="shared" ref="C71:C80" si="11">$G$70*(A71^$G$72)+$G$71*(A71^(2*$G$72))</f>
        <v>4.4060870920021991</v>
      </c>
      <c r="D71" s="34">
        <f t="shared" si="10"/>
        <v>19.413603462308394</v>
      </c>
      <c r="F71" t="s">
        <v>83</v>
      </c>
      <c r="G71">
        <v>3.5051078949929856E-2</v>
      </c>
    </row>
    <row r="72" spans="1:8">
      <c r="A72" s="7">
        <v>15</v>
      </c>
      <c r="B72" s="4">
        <v>0</v>
      </c>
      <c r="C72">
        <f t="shared" si="11"/>
        <v>7.2021651324989504</v>
      </c>
      <c r="D72" s="34">
        <f t="shared" si="10"/>
        <v>51.871182595783623</v>
      </c>
      <c r="F72" t="s">
        <v>84</v>
      </c>
      <c r="G72">
        <v>0.43</v>
      </c>
    </row>
    <row r="73" spans="1:8" ht="17" thickBot="1">
      <c r="A73" s="7">
        <v>30</v>
      </c>
      <c r="B73" s="4">
        <v>8.6054036514129013</v>
      </c>
      <c r="C73">
        <f t="shared" si="11"/>
        <v>9.8713453455062261</v>
      </c>
      <c r="D73" s="34">
        <f t="shared" si="10"/>
        <v>1.6026083728438771</v>
      </c>
      <c r="F73" t="s">
        <v>56</v>
      </c>
      <c r="G73" s="27">
        <v>0.93872278353272898</v>
      </c>
    </row>
    <row r="74" spans="1:8">
      <c r="A74" s="7">
        <v>45</v>
      </c>
      <c r="B74" s="4">
        <v>8.6620281865927655</v>
      </c>
      <c r="C74">
        <f t="shared" si="11"/>
        <v>11.899669035668296</v>
      </c>
      <c r="D74" s="34">
        <f t="shared" si="10"/>
        <v>10.482318267602523</v>
      </c>
    </row>
    <row r="75" spans="1:8" ht="17" thickBot="1">
      <c r="A75" s="7">
        <v>60</v>
      </c>
      <c r="B75" s="4">
        <v>15.003905389426345</v>
      </c>
      <c r="C75">
        <f t="shared" si="11"/>
        <v>13.604563522733123</v>
      </c>
      <c r="D75" s="34">
        <f t="shared" si="10"/>
        <v>1.9581576598804706</v>
      </c>
      <c r="F75" t="s">
        <v>55</v>
      </c>
      <c r="G75" s="34">
        <f>SUM(D70:D80)</f>
        <v>155.64895587506501</v>
      </c>
    </row>
    <row r="76" spans="1:8" ht="17" thickBot="1">
      <c r="A76" s="7">
        <v>75</v>
      </c>
      <c r="B76" s="4">
        <v>15.251244253986286</v>
      </c>
      <c r="C76">
        <f t="shared" si="11"/>
        <v>15.106036565414499</v>
      </c>
      <c r="D76" s="34">
        <f t="shared" si="10"/>
        <v>2.1085272820361149E-2</v>
      </c>
      <c r="H76" s="29"/>
    </row>
    <row r="77" spans="1:8">
      <c r="A77" s="7">
        <v>90</v>
      </c>
      <c r="B77" s="4">
        <v>20.615819234271537</v>
      </c>
      <c r="C77">
        <f t="shared" si="11"/>
        <v>16.464674427262029</v>
      </c>
      <c r="D77" s="34">
        <f t="shared" si="10"/>
        <v>17.232003208762009</v>
      </c>
      <c r="F77" s="29"/>
      <c r="G77" s="29" t="s">
        <v>54</v>
      </c>
      <c r="H77" s="29" t="s">
        <v>53</v>
      </c>
    </row>
    <row r="78" spans="1:8">
      <c r="A78" s="7">
        <v>120</v>
      </c>
      <c r="B78" s="4">
        <v>21.396755594427134</v>
      </c>
      <c r="C78">
        <f t="shared" si="11"/>
        <v>18.883119940799016</v>
      </c>
      <c r="D78" s="34">
        <f t="shared" si="10"/>
        <v>6.3183641991904542</v>
      </c>
      <c r="F78" s="28" t="s">
        <v>54</v>
      </c>
      <c r="G78" s="28">
        <v>1</v>
      </c>
      <c r="H78" s="28"/>
    </row>
    <row r="79" spans="1:8" ht="17" thickBot="1">
      <c r="A79" s="7">
        <v>180</v>
      </c>
      <c r="B79" s="4">
        <v>28.320967920626391</v>
      </c>
      <c r="C79">
        <f t="shared" si="11"/>
        <v>22.96774776974468</v>
      </c>
      <c r="D79" s="34">
        <f t="shared" si="10"/>
        <v>28.656965983806007</v>
      </c>
      <c r="F79" s="27" t="s">
        <v>53</v>
      </c>
      <c r="G79" s="27">
        <v>0.93671769429028351</v>
      </c>
      <c r="H79" s="27">
        <v>1</v>
      </c>
    </row>
    <row r="80" spans="1:8">
      <c r="A80" s="6">
        <v>360</v>
      </c>
      <c r="B80" s="4">
        <v>28.115967302931068</v>
      </c>
      <c r="C80">
        <f t="shared" si="11"/>
        <v>32.369514863740434</v>
      </c>
      <c r="D80" s="34">
        <f t="shared" si="10"/>
        <v>18.09266685206731</v>
      </c>
    </row>
  </sheetData>
  <scenarios current="0" show="0" sqref="G6">
    <scenario name="test" locked="1" count="2" user="Microsoft Office User" comment="Created by Microsoft Office User on 16/9/2019">
      <inputCells r="G3" val="0.5"/>
      <inputCells r="G4" val="0.5"/>
    </scenario>
  </scenario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31 May 2019</vt:lpstr>
      <vt:lpstr>21 Jun 2019</vt:lpstr>
      <vt:lpstr>26 Jun 2019</vt:lpstr>
      <vt:lpstr>27 Aug 2019</vt:lpstr>
      <vt:lpstr>stat</vt:lpstr>
      <vt:lpstr>Model fit</vt:lpstr>
      <vt:lpstr>Model fit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2018-10-10T02:52:28Z</dcterms:created>
  <dcterms:modified xsi:type="dcterms:W3CDTF">2022-05-11T10:57:27Z</dcterms:modified>
</cp:coreProperties>
</file>